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240" yWindow="108" windowWidth="14808" windowHeight="8016"/>
  </bookViews>
  <sheets>
    <sheet name="SUPUESTO 1" sheetId="1" r:id="rId1"/>
    <sheet name="SUPUESTO 2" sheetId="2" r:id="rId2"/>
    <sheet name="SUPUESTO 3-" sheetId="7" r:id="rId3"/>
    <sheet name="SUPUESTO 4" sheetId="4" r:id="rId4"/>
    <sheet name="SUPUESTO 5" sheetId="6" r:id="rId5"/>
  </sheets>
  <calcPr calcId="144525"/>
</workbook>
</file>

<file path=xl/calcChain.xml><?xml version="1.0" encoding="utf-8"?>
<calcChain xmlns="http://schemas.openxmlformats.org/spreadsheetml/2006/main">
  <c r="D28" i="6" l="1"/>
  <c r="C45" i="6"/>
  <c r="H186" i="4"/>
  <c r="B186" i="4"/>
  <c r="F170" i="4"/>
  <c r="F160" i="4"/>
  <c r="B121" i="4"/>
  <c r="B120" i="4"/>
  <c r="B125" i="4"/>
  <c r="F106" i="4"/>
  <c r="G109" i="4"/>
  <c r="B116" i="4"/>
  <c r="G116" i="4"/>
  <c r="C58" i="4"/>
  <c r="B96" i="2"/>
  <c r="B97" i="2"/>
  <c r="H84" i="2"/>
  <c r="B82" i="2"/>
  <c r="B101" i="2"/>
  <c r="H106" i="2"/>
  <c r="N104" i="2"/>
  <c r="G70" i="2"/>
  <c r="D69" i="2"/>
  <c r="E114" i="1"/>
  <c r="G111" i="1"/>
  <c r="E111" i="1"/>
  <c r="H90" i="1"/>
  <c r="B91" i="1"/>
  <c r="B70" i="1"/>
  <c r="W31" i="1"/>
  <c r="H128" i="2" l="1"/>
  <c r="B128" i="2" s="1"/>
  <c r="D26" i="6"/>
  <c r="H90" i="7" l="1"/>
  <c r="B90" i="7"/>
  <c r="H91" i="7" s="1"/>
  <c r="D86" i="7"/>
  <c r="G80" i="7"/>
  <c r="F52" i="7"/>
  <c r="E53" i="7" s="1"/>
  <c r="H58" i="7" s="1"/>
  <c r="M50" i="7"/>
  <c r="H50" i="7"/>
  <c r="B68" i="7" s="1"/>
  <c r="H68" i="7" s="1"/>
  <c r="C38" i="7"/>
  <c r="J24" i="7"/>
  <c r="H28" i="7" s="1"/>
  <c r="B28" i="7" s="1"/>
  <c r="B23" i="7"/>
  <c r="U22" i="7"/>
  <c r="H23" i="7" s="1"/>
  <c r="E14" i="7"/>
  <c r="E15" i="7" s="1"/>
  <c r="K8" i="7"/>
  <c r="B22" i="7" l="1"/>
  <c r="B78" i="7"/>
  <c r="H78" i="7" s="1"/>
  <c r="B58" i="7"/>
  <c r="H63" i="7"/>
  <c r="H64" i="7" s="1"/>
  <c r="H115" i="2" l="1"/>
  <c r="H114" i="2"/>
  <c r="L103" i="2"/>
  <c r="H88" i="2"/>
  <c r="H83" i="2"/>
  <c r="H18" i="2"/>
  <c r="H17" i="2"/>
  <c r="H16" i="2"/>
  <c r="B133" i="2"/>
  <c r="H133" i="2"/>
  <c r="H105" i="2"/>
  <c r="B105" i="2" s="1"/>
  <c r="B88" i="2"/>
  <c r="J34" i="2"/>
  <c r="B16" i="2"/>
  <c r="C105" i="4" l="1"/>
  <c r="B126" i="4" l="1"/>
  <c r="C98" i="4"/>
  <c r="K15" i="4"/>
  <c r="G16" i="4" s="1"/>
  <c r="F176" i="4" l="1"/>
  <c r="B174" i="4"/>
  <c r="E112" i="1" l="1"/>
  <c r="E113" i="1"/>
  <c r="H102" i="1"/>
  <c r="B102" i="1" s="1"/>
  <c r="L102" i="1"/>
  <c r="E119" i="1" s="1"/>
  <c r="K97" i="1"/>
  <c r="B90" i="1"/>
  <c r="B77" i="1"/>
  <c r="B76" i="1" s="1"/>
  <c r="H58" i="1"/>
  <c r="B46" i="1"/>
  <c r="G46" i="1" s="1"/>
  <c r="F17" i="1"/>
  <c r="F22" i="1" s="1"/>
  <c r="B39" i="1"/>
  <c r="H40" i="1"/>
  <c r="E115" i="1" l="1"/>
  <c r="K105" i="1"/>
  <c r="B96" i="1" s="1"/>
  <c r="E121" i="1"/>
  <c r="E23" i="1"/>
  <c r="H96" i="1"/>
  <c r="B58" i="1"/>
  <c r="H116" i="2"/>
  <c r="B114" i="2"/>
  <c r="H55" i="2"/>
  <c r="H22" i="2"/>
  <c r="B22" i="2" s="1"/>
  <c r="G62" i="2"/>
  <c r="D63" i="2" s="1"/>
  <c r="B190" i="4"/>
  <c r="F175" i="4"/>
  <c r="F174" i="4"/>
  <c r="F169" i="4"/>
  <c r="C160" i="4"/>
  <c r="B151" i="4"/>
  <c r="B150" i="4"/>
  <c r="B145" i="4"/>
  <c r="F141" i="4"/>
  <c r="B140" i="4" s="1"/>
  <c r="F155" i="4"/>
  <c r="B136" i="4"/>
  <c r="B135" i="4"/>
  <c r="G125" i="4"/>
  <c r="G121" i="4"/>
  <c r="E121" i="4"/>
  <c r="C121" i="4"/>
  <c r="G120" i="4"/>
  <c r="C111" i="4"/>
  <c r="C109" i="4"/>
  <c r="C106" i="4"/>
  <c r="H97" i="1" l="1"/>
  <c r="E120" i="1" s="1"/>
  <c r="E122" i="1" s="1"/>
  <c r="F150" i="4"/>
  <c r="F135" i="4"/>
  <c r="C85" i="4"/>
  <c r="C103" i="4" s="1"/>
  <c r="G79" i="4"/>
  <c r="G83" i="4" s="1"/>
  <c r="B83" i="4" s="1"/>
  <c r="B79" i="4"/>
  <c r="G67" i="4"/>
  <c r="B67" i="4" s="1"/>
  <c r="B63" i="4"/>
  <c r="C101" i="4"/>
  <c r="B55" i="4"/>
  <c r="B51" i="4"/>
  <c r="B47" i="4"/>
  <c r="G34" i="4"/>
  <c r="B34" i="4" s="1"/>
  <c r="C39" i="4"/>
  <c r="E39" i="4"/>
  <c r="I24" i="4"/>
  <c r="G20" i="4"/>
  <c r="B20" i="4" s="1"/>
  <c r="D16" i="4"/>
  <c r="C97" i="4" s="1"/>
  <c r="D15" i="4"/>
  <c r="D14" i="4"/>
  <c r="B10" i="4"/>
  <c r="C12" i="4" s="1"/>
  <c r="C99" i="4" s="1"/>
  <c r="G69" i="4" l="1"/>
  <c r="F42" i="4"/>
  <c r="C100" i="4" s="1"/>
  <c r="B29" i="4"/>
  <c r="G29" i="4" s="1"/>
  <c r="G39" i="4" s="1"/>
  <c r="B39" i="4" s="1"/>
  <c r="C90" i="6"/>
  <c r="C85" i="6"/>
  <c r="C80" i="6"/>
  <c r="C81" i="6"/>
  <c r="C75" i="6"/>
  <c r="C74" i="6"/>
  <c r="C67" i="6"/>
  <c r="D40" i="6"/>
  <c r="D39" i="6"/>
  <c r="C59" i="6"/>
  <c r="C54" i="6"/>
  <c r="E36" i="6"/>
  <c r="E35" i="6"/>
  <c r="D27" i="6"/>
  <c r="C18" i="6"/>
  <c r="G74" i="4" l="1"/>
  <c r="B74" i="4" s="1"/>
  <c r="C102" i="4"/>
  <c r="C30" i="6"/>
  <c r="B43" i="6" s="1"/>
  <c r="D47" i="6" s="1"/>
  <c r="D41" i="6"/>
  <c r="H101" i="2"/>
  <c r="I29" i="2"/>
  <c r="M31" i="2" s="1"/>
  <c r="H92" i="2"/>
  <c r="B92" i="2" s="1"/>
  <c r="H59" i="2"/>
  <c r="B59" i="2" s="1"/>
  <c r="B55" i="2"/>
  <c r="H37" i="2"/>
  <c r="H12" i="2"/>
  <c r="H122" i="2" l="1"/>
  <c r="H123" i="2" s="1"/>
  <c r="I40" i="2"/>
  <c r="C107" i="4"/>
  <c r="C108" i="4" s="1"/>
  <c r="G33" i="2"/>
  <c r="B12" i="2"/>
  <c r="E42" i="2" l="1"/>
  <c r="H74" i="2"/>
  <c r="C110" i="4"/>
  <c r="C17" i="1"/>
  <c r="B52" i="1" l="1"/>
  <c r="B53" i="1" s="1"/>
  <c r="B47" i="1"/>
  <c r="G47" i="1" s="1"/>
  <c r="V30" i="1"/>
  <c r="W32" i="1"/>
  <c r="W33" i="1"/>
  <c r="H46" i="2"/>
  <c r="B46" i="2" s="1"/>
  <c r="B74" i="2"/>
  <c r="C112" i="4"/>
  <c r="V39" i="1" l="1"/>
  <c r="H96" i="2"/>
</calcChain>
</file>

<file path=xl/sharedStrings.xml><?xml version="1.0" encoding="utf-8"?>
<sst xmlns="http://schemas.openxmlformats.org/spreadsheetml/2006/main" count="702" uniqueCount="493">
  <si>
    <t>Mercaderías (400 unidades)</t>
  </si>
  <si>
    <t>Clientes</t>
  </si>
  <si>
    <t>Rappels por compras</t>
  </si>
  <si>
    <t>Descuentos sobre compras por pronto pago</t>
  </si>
  <si>
    <t>Deterioro de valor de las mercaderías</t>
  </si>
  <si>
    <t>Venta de mercaderías (800 unidades)</t>
  </si>
  <si>
    <t>Devoluciones de ventas</t>
  </si>
  <si>
    <t>Compras de mercaderías (1.000 unidades)</t>
  </si>
  <si>
    <t>Publicidad y propaganda</t>
  </si>
  <si>
    <t>Terrenos</t>
  </si>
  <si>
    <t>Construcciones</t>
  </si>
  <si>
    <t>Amortización acumulada de construcciones</t>
  </si>
  <si>
    <t>Otro inmovilizado material</t>
  </si>
  <si>
    <t>Gastos de personal</t>
  </si>
  <si>
    <t>Ingresos por prestaciones de servicios</t>
  </si>
  <si>
    <t>Amortización acumulada de otro inmovilizado material</t>
  </si>
  <si>
    <t>Pérdidas de créditos comerciales incobrables</t>
  </si>
  <si>
    <t>Capital Social</t>
  </si>
  <si>
    <t>Reservas</t>
  </si>
  <si>
    <t>Otros gastos de explotación</t>
  </si>
  <si>
    <t>Proveedores</t>
  </si>
  <si>
    <t>Créditos a corto plazo por venta de inmovilizado</t>
  </si>
  <si>
    <t>Ingresos de créditos</t>
  </si>
  <si>
    <t>Bancos</t>
  </si>
  <si>
    <t>DEUDORES</t>
  </si>
  <si>
    <t>ACREEDORES</t>
  </si>
  <si>
    <t>CUENTAS</t>
  </si>
  <si>
    <t>2.</t>
  </si>
  <si>
    <t>a.</t>
  </si>
  <si>
    <t xml:space="preserve">se amortiza durante la misma. </t>
  </si>
  <si>
    <t xml:space="preserve">En 09/X3 se daría de alta este derecho, que puede entenderse como una concesión administrativa. Como tiene vida útil definida, </t>
  </si>
  <si>
    <t xml:space="preserve">Junto con la concesión se adquirió inmovilizado material por 720 um, el cual debe sustituirse en el plazo de 3 años. </t>
  </si>
  <si>
    <t>Como la concesión es por 4 años, será necesario adquirir nuevo inmovilizado que se estima en 576 um, si bien éste sólo</t>
  </si>
  <si>
    <t>será objeto de amortización durante un año. Este es el supuesto de hecho que obliga a contabilizar una provisión por activos</t>
  </si>
  <si>
    <t>revertibles:</t>
  </si>
  <si>
    <t>Valor del inmovilizado intangible y de la provisión por activos revertibles en 09/X3:</t>
  </si>
  <si>
    <t>576/4 * 3 =</t>
  </si>
  <si>
    <t xml:space="preserve">432 * (1+5%)^(-3) = </t>
  </si>
  <si>
    <t>Mientras que el intangible se amortiza durante 4 años, la provisión se va actualizando hasta el momento en que se adquiere</t>
  </si>
  <si>
    <t>Concesión administrativa</t>
  </si>
  <si>
    <t>31/03/X6</t>
  </si>
  <si>
    <t>La amortización acumulada ascenderá a:</t>
  </si>
  <si>
    <t>Y el valor de la provisión será de:</t>
  </si>
  <si>
    <t>1.</t>
  </si>
  <si>
    <t>Tipo interés para actualizaciones:</t>
  </si>
  <si>
    <t>Deterioro de valor de créditos comerciales</t>
  </si>
  <si>
    <t>Amortización Inmovilizado Intangible (activo rev)</t>
  </si>
  <si>
    <t>Provisión por activos revertibles</t>
  </si>
  <si>
    <t>Activos intangible por activos revertibles</t>
  </si>
  <si>
    <t>Amortización concesión administrativa</t>
  </si>
  <si>
    <t>b.</t>
  </si>
  <si>
    <t>El enunciado hace referencia dos campañas:</t>
  </si>
  <si>
    <t>La primera finaliza en mayo de este año y se pagó por anticipado. Pero no sabemos cuándo se pagó. En el balance sólo tenemos</t>
  </si>
  <si>
    <t>información de un gasto de 1.000 euros que podría refererirse tanto a esta campaña como a la siguiente que tiene 300 um pendientes de pago</t>
  </si>
  <si>
    <t>La interpretación más razonable sería asumir que ambas campañas son del X6 y que a fecha del balance esos 1.000 de gasto son:</t>
  </si>
  <si>
    <t>- Un gasto anticipado que, en todo caso, se devengará en el X6, por lo que no se periodifica (no obligatorio)</t>
  </si>
  <si>
    <t>- Un gasto ya devengado que tiene 300 euros pendientes de pago. Sería necesario incluir en el balance una cuenta</t>
  </si>
  <si>
    <t>que refleje ese saldo que, en todo caso, será objeto de cancelación en mayo</t>
  </si>
  <si>
    <t>Acreedores por prestación de servicios</t>
  </si>
  <si>
    <t>DATOS DEL ENUNCIADO</t>
  </si>
  <si>
    <t>1) En R, S.A. tiene:</t>
  </si>
  <si>
    <t>acciones</t>
  </si>
  <si>
    <t>Esta sociedad tiene un capital:</t>
  </si>
  <si>
    <t>acciones a</t>
  </si>
  <si>
    <t>El precio de adquisición fue de:</t>
  </si>
  <si>
    <t>INVERSIONES QUE TIENE AVISA en sociedades no cotizadas:</t>
  </si>
  <si>
    <t>2) En Z, S.A. tiene:</t>
  </si>
  <si>
    <t>um valor nominal (Serie X) y desembolsadas al 100%</t>
  </si>
  <si>
    <t>acciones adquiridas al 142,5%.</t>
  </si>
  <si>
    <t>um valor nominal (Serie Y) y desembolsadas al 70%. No exigido el dividendo pasivo</t>
  </si>
  <si>
    <t>ASIENTOS:</t>
  </si>
  <si>
    <t xml:space="preserve">__________________________ 01-02-X2__________________________ </t>
  </si>
  <si>
    <t>(= 360 * 10 * 142,5%). Evidentemente tiene más del 20%, influencia significativa y empresa asociadas --&gt; AF a Coste</t>
  </si>
  <si>
    <t>um valor nominal (serie A) y totalmente desembolsadas. Total, 6.000 um de CS</t>
  </si>
  <si>
    <t>CS =</t>
  </si>
  <si>
    <t>% AVISA =</t>
  </si>
  <si>
    <t>De nuevo, más de un 20%, por lo que tiene influencia significativa y es empresa asocidada (NOFCA 13ª). Obligatoriamente, AF a Coste</t>
  </si>
  <si>
    <t>Inversión l/p en IP</t>
  </si>
  <si>
    <t>a</t>
  </si>
  <si>
    <t>Los 8.000 euros representan son el 70% del nominal y el 100% de la prima. El nominal pendiente sería: 150  * 40 * 30% =</t>
  </si>
  <si>
    <t>Desembolsos ptes</t>
  </si>
  <si>
    <t xml:space="preserve">__________________________ 01-01-X2__________________________ </t>
  </si>
  <si>
    <t>Dividendo a cobrar</t>
  </si>
  <si>
    <t>= 150*40*0,7*0,2</t>
  </si>
  <si>
    <t>Proporcional al desembolso</t>
  </si>
  <si>
    <t>ASIENTOS DE LA AMPLIACIÓN DE CAPITAL</t>
  </si>
  <si>
    <t>R realiza una ampliación de capital liberada al 10% (parcialmente liberada) emitiendo una nueva serie B con N acciones de 15 um de valor nominal</t>
  </si>
  <si>
    <t>N =</t>
  </si>
  <si>
    <t>Incógnita</t>
  </si>
  <si>
    <t>A =</t>
  </si>
  <si>
    <t>Incógnita en la ecuación del valor teórico, si bien son 600 acciones a 10 um de valor nominal. Esto también son 400 acciones de 15 um de valor nominal</t>
  </si>
  <si>
    <t>C =</t>
  </si>
  <si>
    <t>E =</t>
  </si>
  <si>
    <t>= 15*0,9</t>
  </si>
  <si>
    <t>Valor tco =</t>
  </si>
  <si>
    <t>El enunciado dice que el valor teórico del DPS se ha calculado</t>
  </si>
  <si>
    <t>Dado que no cotiza, se entiende como el valor teórico de la acción ex ante la ampliación. Resulta de dividir PN ajustado según RICAC 2019 entre las 600 acciones de la serie A</t>
  </si>
  <si>
    <t>VALOR TEÓRICO =</t>
  </si>
  <si>
    <t xml:space="preserve">C - C' = C - </t>
  </si>
  <si>
    <t>A * C + N * E</t>
  </si>
  <si>
    <t>A + N</t>
  </si>
  <si>
    <t>=</t>
  </si>
  <si>
    <t>N * (C - E)</t>
  </si>
  <si>
    <t>;</t>
  </si>
  <si>
    <t>Despejando la N =</t>
  </si>
  <si>
    <t xml:space="preserve">__________________________ 01-03-X2__________________________ </t>
  </si>
  <si>
    <t>Para suscribir el 20% de la emisión necesita AVISA necesita adquirir =</t>
  </si>
  <si>
    <t>DPS</t>
  </si>
  <si>
    <t>Por la segregación de los DPS a vender</t>
  </si>
  <si>
    <t>DPS. Por ende, sobran 360 - 120 = 240 DPS</t>
  </si>
  <si>
    <t>El DPS se segrega de acuerdo con su coste, que se calcula como: Valor contable acción * (Vtco DPS) / Valor ex ante de la acción;</t>
  </si>
  <si>
    <t>El valor contable de la acción es 5.130 / 360 =</t>
  </si>
  <si>
    <t>Coste DPS = 14,25 * (3/18) =</t>
  </si>
  <si>
    <t>240 * 2,375</t>
  </si>
  <si>
    <t>Inversiones l/p IP</t>
  </si>
  <si>
    <t>Beneficios (766)</t>
  </si>
  <si>
    <t>ASIENTOS DE LA REDUCCIÓN</t>
  </si>
  <si>
    <t>Por la condonación del dividendo pasivo (supuesto 317.D):</t>
  </si>
  <si>
    <t>Inversión l/p IP</t>
  </si>
  <si>
    <t>Según la RICAC de 2019, para el socio es necesario evaluar cuánto representa esa reducción respecto al PN</t>
  </si>
  <si>
    <t>Ahora mismo, el valor nominal de la serie Y es de: 40 * 0,7 =</t>
  </si>
  <si>
    <t xml:space="preserve">Se quiere igualar al valor nominal de la serie X, que es de 20, ergo reducir 8 euros del valor nominal de cada acción. </t>
  </si>
  <si>
    <t>Esto implica una reducción total de 400 * 8 = 3.200</t>
  </si>
  <si>
    <t xml:space="preserve">3.200 / 40.000 = </t>
  </si>
  <si>
    <t xml:space="preserve">__________________________ 1-12-X2__________________________ </t>
  </si>
  <si>
    <t>8% * 8.000</t>
  </si>
  <si>
    <t>150*8</t>
  </si>
  <si>
    <t>Opraciones pendientes hasta el cierre</t>
  </si>
  <si>
    <t>De X0 lleva:</t>
  </si>
  <si>
    <t>- Terrenos y bienes naturales:</t>
  </si>
  <si>
    <t>- Construcciones en curso:</t>
  </si>
  <si>
    <t xml:space="preserve">__________________________ 02-01-X1__________________________ </t>
  </si>
  <si>
    <t>Deudas l/p</t>
  </si>
  <si>
    <t>Intereses Deudas</t>
  </si>
  <si>
    <t>Deudas l/p específica</t>
  </si>
  <si>
    <t>Deudas l/p esp</t>
  </si>
  <si>
    <t>Deudas c/p</t>
  </si>
  <si>
    <t>SE PIDE: X1, X2 y X3</t>
  </si>
  <si>
    <t>CAPITALIZACIÓN DE GASTOS FINANCIEROS (RICAC Coste Producción)</t>
  </si>
  <si>
    <t>Valor apto de los activos en construcción, base para capitalizar:</t>
  </si>
  <si>
    <t>MEDIA =</t>
  </si>
  <si>
    <t>No obstante, existe una subvención destinada a la construcción del edificio, ergo se minora del valor apto. Valor apto =</t>
  </si>
  <si>
    <t>- Primero se aplica la financiación específica, así:</t>
  </si>
  <si>
    <t>se capitalizan</t>
  </si>
  <si>
    <t>- El importe restante del valor apto tras la aplicación de la financiación específica es de:</t>
  </si>
  <si>
    <t>Se le aplicará el tipo medio de las deudas no comerciales:</t>
  </si>
  <si>
    <t>TIPO MEDIO ES =</t>
  </si>
  <si>
    <t>60.000 * 7% + 40.000 *6,5%</t>
  </si>
  <si>
    <t>TOTAL A CAPITALIZAR    ===&gt;</t>
  </si>
  <si>
    <t>C en curso</t>
  </si>
  <si>
    <t>Trabajos realiz IM</t>
  </si>
  <si>
    <t>AÑO X2</t>
  </si>
  <si>
    <t xml:space="preserve">todas las actividades necesarias para preparar el activo para el uso al que esté destinado o para su venta. </t>
  </si>
  <si>
    <t>Normalmente, un activo estará preparado para el uso al que está destinado o para su venta, cuando se haya completado la construcción física del mismo</t>
  </si>
  <si>
    <t xml:space="preserve">__________________________ 12-X1__________________________ </t>
  </si>
  <si>
    <t>Gastos anticipados</t>
  </si>
  <si>
    <t>Periodificación gastos de arrendamiento. El pago total es de 240 um para 2 años, ergo son 10 euros cada mes</t>
  </si>
  <si>
    <t>de arrendamiento</t>
  </si>
  <si>
    <t xml:space="preserve">__________________________ 06-X2__________________________ </t>
  </si>
  <si>
    <t>Otro inmovilizado m</t>
  </si>
  <si>
    <t>Costes de desmantelamiento al final de la vida útil =</t>
  </si>
  <si>
    <t>Acutalizado es por =</t>
  </si>
  <si>
    <t xml:space="preserve">Según la RICAC del inmovilizado material, </t>
  </si>
  <si>
    <t>en la que la empresa incurra en la obligación. Para el supuesto de activos en construcción, se presumirá, salvo prueba en contrario</t>
  </si>
  <si>
    <r>
      <t>"</t>
    </r>
    <r>
      <rPr>
        <i/>
        <sz val="11"/>
        <color theme="1"/>
        <rFont val="Calibri"/>
        <family val="2"/>
        <scheme val="minor"/>
      </rPr>
      <t xml:space="preserve">La incorporación de este componente del coste a la valoración inicial del activo se producirá en la fecha </t>
    </r>
  </si>
  <si>
    <r>
      <t xml:space="preserve">, </t>
    </r>
    <r>
      <rPr>
        <i/>
        <sz val="11"/>
        <color theme="1"/>
        <rFont val="Calibri"/>
        <family val="2"/>
        <scheme val="minor"/>
      </rPr>
      <t>que esta circunstancia se producirá a medida que el inmovilizado en curso se incorpore al patrimonio de la empresa</t>
    </r>
    <r>
      <rPr>
        <sz val="11"/>
        <color theme="1"/>
        <rFont val="Calibri"/>
        <family val="2"/>
        <scheme val="minor"/>
      </rPr>
      <t>".</t>
    </r>
  </si>
  <si>
    <r>
      <t>No se capitalizará el mes de enero del X2 según Norma 9ª.2 RICAC Cprod: "</t>
    </r>
    <r>
      <rPr>
        <i/>
        <sz val="11"/>
        <color theme="1"/>
        <rFont val="Calibri"/>
        <family val="2"/>
        <scheme val="minor"/>
      </rPr>
      <t xml:space="preserve">La capitalización de los gastos financieros cesará cuando se hayan completado </t>
    </r>
  </si>
  <si>
    <r>
      <rPr>
        <i/>
        <sz val="11"/>
        <color theme="1"/>
        <rFont val="Calibri"/>
        <family val="2"/>
        <scheme val="minor"/>
      </rPr>
      <t>, aunque todavía deban llevarse a cabo trabajos administrativos o modificaciones menores.</t>
    </r>
    <r>
      <rPr>
        <sz val="11"/>
        <color theme="1"/>
        <rFont val="Calibri"/>
        <family val="2"/>
        <scheme val="minor"/>
      </rPr>
      <t>"</t>
    </r>
  </si>
  <si>
    <t xml:space="preserve">530/(530 + 70) = </t>
  </si>
  <si>
    <t>En el mismo porcentaje, se incorpora la provisión:</t>
  </si>
  <si>
    <t>Provisión por DRR</t>
  </si>
  <si>
    <t xml:space="preserve">__________________________ 01-X2__________________________ </t>
  </si>
  <si>
    <t>Construcciones ec</t>
  </si>
  <si>
    <t>10.500 * 12 + 12.000 * 9 + 12.000 * 6 + 6.000 * 0</t>
  </si>
  <si>
    <t>(los 500 del año pasado también se tienen en cuenta)</t>
  </si>
  <si>
    <t>Todo el importe de las construcciones (pagos efectuados y gastos capitalizados) y restando el aparcamiento. No está listo</t>
  </si>
  <si>
    <t xml:space="preserve">__________________________ 31-12-X2__________________________ </t>
  </si>
  <si>
    <t>Amortización IM (Co)</t>
  </si>
  <si>
    <t>Amz otro IM</t>
  </si>
  <si>
    <t>AAIM</t>
  </si>
  <si>
    <t>Arrendamientos y cán</t>
  </si>
  <si>
    <t>Por la periodificación de 120 um del arrendamiento</t>
  </si>
  <si>
    <t>Gastos actu prov</t>
  </si>
  <si>
    <t>PPDRR</t>
  </si>
  <si>
    <t xml:space="preserve">__________________________ 31-12-X3__________________________ </t>
  </si>
  <si>
    <t>PRIMER CASO</t>
  </si>
  <si>
    <t xml:space="preserve">Inversión inicial: </t>
  </si>
  <si>
    <t>Desembolso 1</t>
  </si>
  <si>
    <t>6 meses</t>
  </si>
  <si>
    <t>i =</t>
  </si>
  <si>
    <t>Desembolso 2</t>
  </si>
  <si>
    <t>9 meses</t>
  </si>
  <si>
    <t>1. BONOS</t>
  </si>
  <si>
    <t>Precio =</t>
  </si>
  <si>
    <t>IMPORTE =</t>
  </si>
  <si>
    <t>2. EFECTOS DE UNA CARTERA:</t>
  </si>
  <si>
    <t>divididos en tres partes.</t>
  </si>
  <si>
    <t>LFDC --&gt;</t>
  </si>
  <si>
    <t>Co = Cn (1-d*n)</t>
  </si>
  <si>
    <t>PRIMERO</t>
  </si>
  <si>
    <t>SEGUNDO</t>
  </si>
  <si>
    <t>RESTO</t>
  </si>
  <si>
    <t>3. DEPÓSITO</t>
  </si>
  <si>
    <t>j4 =</t>
  </si>
  <si>
    <t>i4 =</t>
  </si>
  <si>
    <t>j2 =</t>
  </si>
  <si>
    <t>i2 =</t>
  </si>
  <si>
    <t>tras 5 años son =</t>
  </si>
  <si>
    <t>tras 4 años son =</t>
  </si>
  <si>
    <t>Hoy necesitaría:</t>
  </si>
  <si>
    <t>Solicitaría préstamo por  ===&gt;</t>
  </si>
  <si>
    <t>SEGUNDO CASO</t>
  </si>
  <si>
    <t>N1 =</t>
  </si>
  <si>
    <t>n =</t>
  </si>
  <si>
    <t>Anualidad cte</t>
  </si>
  <si>
    <t>Ci =</t>
  </si>
  <si>
    <t>a) Anualidad que amortiza el empréstito</t>
  </si>
  <si>
    <t>N1 * C = a * A(n/i)</t>
  </si>
  <si>
    <t>a =</t>
  </si>
  <si>
    <t>b) Títulos amortizados en el quinto sorteo</t>
  </si>
  <si>
    <t>M5 = M1 * (1+i)ˆ4</t>
  </si>
  <si>
    <t>c) Importe destinado al pago de cupones en el séptimo sorteo</t>
  </si>
  <si>
    <t>I7 = N7 * C * i</t>
  </si>
  <si>
    <t>d) Títulos vivos al principio del sexto año</t>
  </si>
  <si>
    <t>e) Títulos amortizados después de siete sorteos</t>
  </si>
  <si>
    <t>RECURSOS PROPIOS DE LOS QUE PODRÍA DISPONER:</t>
  </si>
  <si>
    <t>Se usará Ley Financiera Simple de Descuento Comercial al ser efectos comerciales (letras de cambio o pagarés). Descuento racional se usa para letras del tesoro, por ejemplo.</t>
  </si>
  <si>
    <t>Hipótesis: Se supone que el interés es semestral en este caso</t>
  </si>
  <si>
    <t>Hipótesis: Se supone que el interés es trimestral, coincidiendo con la perioc</t>
  </si>
  <si>
    <t>Cn1 = 10M</t>
  </si>
  <si>
    <t>Cn2 = 10M</t>
  </si>
  <si>
    <t>Cn3 = 30M</t>
  </si>
  <si>
    <t>Pasándolo a efectivo:</t>
  </si>
  <si>
    <t>Tipos de interés nominales:</t>
  </si>
  <si>
    <t>Dividiendo los capitales aportados usando LFCC:</t>
  </si>
  <si>
    <t>es el total disponible sumando las tres cuantías</t>
  </si>
  <si>
    <t>, que resulta de actualizar dos de los tres importes que precisaría para la inversión</t>
  </si>
  <si>
    <t>(diferencia entre lo necesario y el total disponible)</t>
  </si>
  <si>
    <t>Despejando en la fórmula de equivalencia financiera:</t>
  </si>
  <si>
    <t>M1 = N1/S (n/i)  o  M1 = (a - I1) / C</t>
  </si>
  <si>
    <t>M1 =</t>
  </si>
  <si>
    <t>No se redondea dado que nos piden importes concretos y no tenemos la amortización real</t>
  </si>
  <si>
    <t xml:space="preserve">M5 = </t>
  </si>
  <si>
    <t>I7 =</t>
  </si>
  <si>
    <t>N7 = (a * A(4/i))/C =</t>
  </si>
  <si>
    <t>títulos</t>
  </si>
  <si>
    <t>euros</t>
  </si>
  <si>
    <t>N6 = (a * A(5/i))/C =</t>
  </si>
  <si>
    <t>ΣM7 = M1 * S (7/i) =</t>
  </si>
  <si>
    <t>(también calculando títulos vivos al inicio del octavo año y restando con el total de títulos)</t>
  </si>
  <si>
    <t>IMPUESTO SOBRE SOCIEDADES</t>
  </si>
  <si>
    <t>Por el dividendo:</t>
  </si>
  <si>
    <t xml:space="preserve">__________________________ XXX__________________________ </t>
  </si>
  <si>
    <t>Cuenta 664</t>
  </si>
  <si>
    <t>DAP</t>
  </si>
  <si>
    <t>AF+p (art. 15) =</t>
  </si>
  <si>
    <t>Resultado operativo  =</t>
  </si>
  <si>
    <t>Gastos financieros netos =</t>
  </si>
  <si>
    <t>RCAI =</t>
  </si>
  <si>
    <t xml:space="preserve">__________________________ 01-4-2X21__________________________ </t>
  </si>
  <si>
    <t>Instalación técnica</t>
  </si>
  <si>
    <t>Elementos T</t>
  </si>
  <si>
    <t>Si se califica como permuta no comercial, se registra por el valor contable del entregado</t>
  </si>
  <si>
    <t>No obstante, ex artículo 17.4 y 17.5 LIS, la operación debe registrarse a valor de mercado, lo que implica que:</t>
  </si>
  <si>
    <t>- Aflora un ingreso fiscal por la diferencia con 300.000, valor de mercado, por lo que hay un AF+t =</t>
  </si>
  <si>
    <t>- Existe una diferencia entre la base contable (250.000) y fiscal del bien (300.000), que implica el registro de una diferencia temporaria:</t>
  </si>
  <si>
    <t xml:space="preserve">__________________________ 31-12-2X21__________________________ </t>
  </si>
  <si>
    <t xml:space="preserve">__________________________ 01-04-2X21__________________________ </t>
  </si>
  <si>
    <t>AIM</t>
  </si>
  <si>
    <t>También se podría haber registrado directamente la DTi a cierre del ejercicio</t>
  </si>
  <si>
    <t>Gastos excep</t>
  </si>
  <si>
    <t>HP Acreedora</t>
  </si>
  <si>
    <t>Cuenta 662</t>
  </si>
  <si>
    <t>No deducibles (art. 15) los importes relativos a la sanción y el recargo.</t>
  </si>
  <si>
    <t>AF+p =</t>
  </si>
  <si>
    <t>3.</t>
  </si>
  <si>
    <t xml:space="preserve">__________________________ 01-07-2X21__________________________ </t>
  </si>
  <si>
    <t>Fondo comercio</t>
  </si>
  <si>
    <t>(Contrapartidas)</t>
  </si>
  <si>
    <t>AII</t>
  </si>
  <si>
    <t>AAII</t>
  </si>
  <si>
    <t>La amortización fiscal del fondo de comercio es de 20 años ex art. 12, AF+t =</t>
  </si>
  <si>
    <t>Además, surge una diferencia temporaria por la diferencia entre la base contable (399.000) y fiscal (409.500) del fondo de comercio:</t>
  </si>
  <si>
    <t>4.</t>
  </si>
  <si>
    <t>5.</t>
  </si>
  <si>
    <t>AF+t =</t>
  </si>
  <si>
    <t>BINS =</t>
  </si>
  <si>
    <t>Deducción pte =</t>
  </si>
  <si>
    <t>Deducción X21 =</t>
  </si>
  <si>
    <t>(la mitad)</t>
  </si>
  <si>
    <t>HP RyPcta =</t>
  </si>
  <si>
    <t>LIQUIDACIÓN</t>
  </si>
  <si>
    <t>RCAI</t>
  </si>
  <si>
    <t>AF</t>
  </si>
  <si>
    <t>BI Previa</t>
  </si>
  <si>
    <t>BINs</t>
  </si>
  <si>
    <t>BI</t>
  </si>
  <si>
    <t>CI</t>
  </si>
  <si>
    <t>Deducciones</t>
  </si>
  <si>
    <t>CL</t>
  </si>
  <si>
    <t>Pagos cta</t>
  </si>
  <si>
    <t>CD</t>
  </si>
  <si>
    <t>--------------------------------------</t>
  </si>
  <si>
    <t>X</t>
  </si>
  <si>
    <t>Cuenta 6301</t>
  </si>
  <si>
    <t>Créditos BIN</t>
  </si>
  <si>
    <t>Deducciones pendientes</t>
  </si>
  <si>
    <t>Cuenta 6300</t>
  </si>
  <si>
    <t>HP RyPF</t>
  </si>
  <si>
    <t>(dividendo sin voto)</t>
  </si>
  <si>
    <t>Además, por las diferencias de amortización se practica AF-t</t>
  </si>
  <si>
    <t>(permuta no comercial, con cierre del ejercicio)</t>
  </si>
  <si>
    <t>(sanción y recargo)</t>
  </si>
  <si>
    <t>(fondo de comercio)</t>
  </si>
  <si>
    <t>(libertad de amortización)</t>
  </si>
  <si>
    <t>Límite 70% BI Previa, que es</t>
  </si>
  <si>
    <t>No supera</t>
  </si>
  <si>
    <t>Límite 25% cuota íntegra previa que es de =</t>
  </si>
  <si>
    <t>HPD IS</t>
  </si>
  <si>
    <t>IVA</t>
  </si>
  <si>
    <t xml:space="preserve">PD 2X18 = </t>
  </si>
  <si>
    <t>HP IVA soportado</t>
  </si>
  <si>
    <t>Venta PPTT</t>
  </si>
  <si>
    <t>HP IVA rep</t>
  </si>
  <si>
    <t>Gastos x natu</t>
  </si>
  <si>
    <t>Segunda entrega sujeta y exenta</t>
  </si>
  <si>
    <t>Se supone que vende por valor contable</t>
  </si>
  <si>
    <t>PRORRATA X19</t>
  </si>
  <si>
    <t>No es la actividad habitual del obligado, no se incluye en prorrata ex art. 104 LIVA</t>
  </si>
  <si>
    <t>Más IVA soportado deducible:</t>
  </si>
  <si>
    <t>X19</t>
  </si>
  <si>
    <t>Ingresos por PS</t>
  </si>
  <si>
    <t>X20</t>
  </si>
  <si>
    <t>No es necesario regularizar el bien de inversión porque no supera en más de 10 puntos porcentuales a la prorrata definitiva inicial</t>
  </si>
  <si>
    <t>NPAC</t>
  </si>
  <si>
    <t>X21</t>
  </si>
  <si>
    <t>Sigue exento y no se cumplen requisitos para renunciar</t>
  </si>
  <si>
    <t>Renuncia el SP</t>
  </si>
  <si>
    <t>BPIM</t>
  </si>
  <si>
    <t>Se renuncia a la exención, ergo hay IVA</t>
  </si>
  <si>
    <t>Ha transcurrido el X20, por lo que restan 8 años por regularizar en ambos casos (art. 102 y siguientes LIVA)</t>
  </si>
  <si>
    <t>Para el primer almacén el porcentaje con el que se regulariza será de un 0%</t>
  </si>
  <si>
    <t>Para el segundo almacén el porcentaje con el que se regulariza será de un 100%</t>
  </si>
  <si>
    <t>Ajustes negativos IVA</t>
  </si>
  <si>
    <t>Por los pagos que se van efectuando (en varias fechas)</t>
  </si>
  <si>
    <t xml:space="preserve">__________________________ XXXX__________________________ </t>
  </si>
  <si>
    <t>y sigue en la cuenta de inmovilizado en curso</t>
  </si>
  <si>
    <t>Suponemos en diciembre</t>
  </si>
  <si>
    <t>Si se supiera cuándo exactamente en X1 se hizo la inversión de 530 se podría actualizar cada parte de la provisión al momento en que se da de alta</t>
  </si>
  <si>
    <t>Acreedores pendientes</t>
  </si>
  <si>
    <t>&lt;-- Se cancelará el propio 1-1-X4 con el último pago del 30% restante</t>
  </si>
  <si>
    <t>Por la periodificación de los gastos de arrendamiento, única cuestión que se pide</t>
  </si>
  <si>
    <t>AÑO X3</t>
  </si>
  <si>
    <t>SOC</t>
  </si>
  <si>
    <t>Cuenta (746)</t>
  </si>
  <si>
    <t>Vres representa =</t>
  </si>
  <si>
    <t>Importe a transferir de la subvención =</t>
  </si>
  <si>
    <t xml:space="preserve">__________________________ 31-01-X2__________________________ </t>
  </si>
  <si>
    <t>Sueldos y salarios</t>
  </si>
  <si>
    <t>Prov AR</t>
  </si>
  <si>
    <t>IM</t>
  </si>
  <si>
    <t>NOTA 2a</t>
  </si>
  <si>
    <t>NOTA 2b</t>
  </si>
  <si>
    <t>INCN</t>
  </si>
  <si>
    <t>Aprovisionamientos</t>
  </si>
  <si>
    <t>OSSA</t>
  </si>
  <si>
    <t>SS empresa</t>
  </si>
  <si>
    <t>HPA retenciones</t>
  </si>
  <si>
    <t>--&gt; Luego a bancos por 9.500 (restan 3.000)</t>
  </si>
  <si>
    <t>G Act Prov</t>
  </si>
  <si>
    <t>IM (nuevo)</t>
  </si>
  <si>
    <t>el nuevo inmovilizado material. Será necesario incorporarlos en el Balance de SyS (no así el inmovilizado adquirido que ya está en OIM)</t>
  </si>
  <si>
    <t>(4 meses y 2 años)</t>
  </si>
  <si>
    <t>Venta Merca.</t>
  </si>
  <si>
    <t>paralelamente, se dan de alta las mercancías por su coste. No obstante, la empresa no realiza estimación alguna, por lo que NPAC…</t>
  </si>
  <si>
    <t>Gastos PyP</t>
  </si>
  <si>
    <t>APS</t>
  </si>
  <si>
    <t>(importe restante)</t>
  </si>
  <si>
    <t xml:space="preserve">__________________________ 31-12-X6__________________________ </t>
  </si>
  <si>
    <t xml:space="preserve">__________________________ 01-09-X6__________________________ </t>
  </si>
  <si>
    <t xml:space="preserve">__________________________ 31-10-X6__________________________ </t>
  </si>
  <si>
    <t xml:space="preserve">__________________________ 01-05-X6__________________________ </t>
  </si>
  <si>
    <t xml:space="preserve">__________________________ XXX-X6__________________________ </t>
  </si>
  <si>
    <t>Se entiende que los 50.000 son el líquido a pagar</t>
  </si>
  <si>
    <t>Clientes, EC</t>
  </si>
  <si>
    <t>DPP s/v</t>
  </si>
  <si>
    <t>PDV</t>
  </si>
  <si>
    <t>DV Clientes com</t>
  </si>
  <si>
    <t>DV previo (BSyS)</t>
  </si>
  <si>
    <t>Reversión Det</t>
  </si>
  <si>
    <t>(suponiendo que se estima también por el método global)</t>
  </si>
  <si>
    <t>Mercaderías</t>
  </si>
  <si>
    <t>EI + ENTRADAS = EF + SALIDAS</t>
  </si>
  <si>
    <t>Ei =</t>
  </si>
  <si>
    <t>(400 uds)</t>
  </si>
  <si>
    <t>ENTRADAS =</t>
  </si>
  <si>
    <t>XXX</t>
  </si>
  <si>
    <t xml:space="preserve">Compras  </t>
  </si>
  <si>
    <t>Rappels</t>
  </si>
  <si>
    <t>(1000 uds)</t>
  </si>
  <si>
    <t>TOTAL E =</t>
  </si>
  <si>
    <t>Desc PP</t>
  </si>
  <si>
    <t>SALIDAS =</t>
  </si>
  <si>
    <t>EF =</t>
  </si>
  <si>
    <t>Variación Ex</t>
  </si>
  <si>
    <t>DV</t>
  </si>
  <si>
    <t>Rev Det</t>
  </si>
  <si>
    <t>Ventas</t>
  </si>
  <si>
    <t>Ingresos PS</t>
  </si>
  <si>
    <t>Descuentos</t>
  </si>
  <si>
    <t>Devoluciones</t>
  </si>
  <si>
    <t>+</t>
  </si>
  <si>
    <t>(octubre)</t>
  </si>
  <si>
    <t>(dado que es servicio de carácter habitual. Si no, sería "otros ingresos explotación")</t>
  </si>
  <si>
    <t>Compras</t>
  </si>
  <si>
    <t>Var. Ex</t>
  </si>
  <si>
    <t>Deterioro valor Ex</t>
  </si>
  <si>
    <t>(opera como ingreso)</t>
  </si>
  <si>
    <t>Inversión de SP, lo declara adquirente</t>
  </si>
  <si>
    <t>*Quizás también algo más por las letras…</t>
  </si>
  <si>
    <t>Ojo al valor residual</t>
  </si>
  <si>
    <t xml:space="preserve">__________________________ 31-12-X1__________________________ </t>
  </si>
  <si>
    <t>Minora el dividendo que se cobrará a continuación</t>
  </si>
  <si>
    <t>Límite 16 LIS: 30% EBITDA pero en todo caso 1M, por lo que AF+t ===&gt;</t>
  </si>
  <si>
    <t>4740 a 6301 por</t>
  </si>
  <si>
    <t>(gastos financieros)</t>
  </si>
  <si>
    <t>=300.000 * 0,21 * / (100% - 60%)*</t>
  </si>
  <si>
    <t>=300.000 * 0,21 * / (0% - 60%)*</t>
  </si>
  <si>
    <t>También en la misma proporción que la amortización de 1.651,56 sobre el total de IM</t>
  </si>
  <si>
    <t>Exceso</t>
  </si>
  <si>
    <t>acciones de la serie Y . Compradas =</t>
  </si>
  <si>
    <t>Importante, hay que coger E = 10 * 0,9 = 9 para dejarlo en equivalentes de 10 la fórmula</t>
  </si>
  <si>
    <t xml:space="preserve">300 equivalentes de 10     = </t>
  </si>
  <si>
    <t>200 equivalentes de 15, de las cuales quiere adquirir el 20%, es decir, 40 acciones</t>
  </si>
  <si>
    <t>Simplificando, 1N - 3A</t>
  </si>
  <si>
    <t>. Esto implica el uso de 40*3 =</t>
  </si>
  <si>
    <t>** DPS también se puede calcular más fácilmente a partir de C'</t>
  </si>
  <si>
    <t>C - C' = 3</t>
  </si>
  <si>
    <t>18 - C' = 3, ergo C' = 15   . Pero estos 15 son en valores equivalentes de 10 um, se entiende dado que el valor ex ante sólo puede ser de las antiguas</t>
  </si>
  <si>
    <t xml:space="preserve">15 = </t>
  </si>
  <si>
    <t>600 + N</t>
  </si>
  <si>
    <t>600 * 18 + N * (10*0,9)</t>
  </si>
  <si>
    <t>N = 300 acciones de valor nominal equivalente 10</t>
  </si>
  <si>
    <t xml:space="preserve">200 acciones de valor nominal equivalente 15   ---&gt; RATIO REAL </t>
  </si>
  <si>
    <t>600 antiguas de 10</t>
  </si>
  <si>
    <t>x</t>
  </si>
  <si>
    <t>200 nuevas de 15</t>
  </si>
  <si>
    <t>1N - 3A</t>
  </si>
  <si>
    <t>(**)</t>
  </si>
  <si>
    <t>Se entiende préstamo simple</t>
  </si>
  <si>
    <t>Contrato llave en mano (modalidad PS)</t>
  </si>
  <si>
    <t>Por ende, se capitalizan por financiación genérica: 20.500 * 6,80 %     =</t>
  </si>
  <si>
    <t>Incorp gastos financieros</t>
  </si>
  <si>
    <t>e.c.</t>
  </si>
  <si>
    <t>en curso</t>
  </si>
  <si>
    <t>Habría que reclasificar OIM ec --&gt; OIM por:</t>
  </si>
  <si>
    <t>= 500 (X0) + 40.000 (X1) + 1.544 (GF) - 600 (pk)</t>
  </si>
  <si>
    <t xml:space="preserve">__________________________ 01-02-X2_________________________________________________________________________________________________ </t>
  </si>
  <si>
    <t>--------------&gt;</t>
  </si>
  <si>
    <t>= 1.651,56 / (41.444 ) * 2.000</t>
  </si>
  <si>
    <t>Baja OIM: AAIM a OIM por 696,19</t>
  </si>
  <si>
    <t>Tiene más del 50%, sería grupo más bien</t>
  </si>
  <si>
    <t>= 40 * 13,5</t>
  </si>
  <si>
    <t>=(8960-1800)*0,08</t>
  </si>
  <si>
    <t>Beneficios (7734)</t>
  </si>
  <si>
    <t>La fórmula se puede usar con ratios de la ampliación o con número real de acciones (recomendado esto último)</t>
  </si>
  <si>
    <t>Es decir, se emiten 300 nuevas equivalentes de 10 um</t>
  </si>
  <si>
    <t xml:space="preserve">ver final </t>
  </si>
  <si>
    <t>300 nuevas equivalentes de 10 por 600 antiguas equivalentes de 10 da un ratio "equivalente" de 1N - 2A</t>
  </si>
  <si>
    <t>del excel</t>
  </si>
  <si>
    <t>En eq 10um, A = 600 y N = incógnita</t>
  </si>
  <si>
    <t>En conclusión, la ratio REAL de la ampliación es: 600 A (vn 10) por 200 N (vn 15) . Cuestión también tratada en el examen de Inspección 2019</t>
  </si>
  <si>
    <t xml:space="preserve">menor venta y, </t>
  </si>
  <si>
    <t xml:space="preserve">En aplicación de la RICAC de febrero 2021, podría estimarse el importe de las mercancías que se estima que se devuelvan. Por ese importe se registra una </t>
  </si>
  <si>
    <t>EJERCICIO PRIMERO</t>
  </si>
  <si>
    <t>EJERCICIO SEGUNDO</t>
  </si>
  <si>
    <t>EJERCICIO TERCERO</t>
  </si>
  <si>
    <t>EJERCICIO CUARTO</t>
  </si>
  <si>
    <t>EJERCICIO QUINTO</t>
  </si>
  <si>
    <t>Valor contable del activo si no revirtiera a la AAPP al término de la concesión administrativa, actualizado 3 años:</t>
  </si>
  <si>
    <t>Gasto anticipado (X7)</t>
  </si>
  <si>
    <t>Se entiende en momento temporal posterior</t>
  </si>
  <si>
    <t>Se procedería igualmente a la amortización de la concesión administrativa, del inmovilizado intangible por activos revertibles y a la actualización de la provisión por activos revertibles</t>
  </si>
  <si>
    <t>34 RICAC-21</t>
  </si>
  <si>
    <t>(no merece la pena actualizar 1 hasta la puesta en cond funcionamiento, principio importancia relativa)</t>
  </si>
  <si>
    <t>Otro inmovilizado ec</t>
  </si>
  <si>
    <t>Amortización en 2 años - 1 mes porque el centro no abre</t>
  </si>
  <si>
    <t>hasta febrero, luego no está en condiciones de funcionamiento OIM</t>
  </si>
  <si>
    <t>Además por el porcentaje de participación tras la suscripción, la cartera pasaría a ser AFCoste (y cuenta Participaciones a largo plazo en empresas asociadas)</t>
  </si>
  <si>
    <t>No se regulariza porque ya ha superado periodo regularización (9 años siguientes)</t>
  </si>
  <si>
    <t>HP IVA soportado a Ajustes positivos IVA</t>
  </si>
  <si>
    <t>OJO límite del IVA repercutido</t>
  </si>
  <si>
    <t>Se indica el uso de descuento compuesto. Al tratarse de una letra a largo plazo, se usaría LFDC - comercial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</si>
</sst>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i/>
      <sz val="12"/>
      <color theme="1"/>
      <name val="Times New Roman"/>
      <family val="1"/>
    </font>
    <font>
      <i/>
      <sz val="11"/>
      <color theme="1"/>
      <name val="Calibri"/>
      <family val="2"/>
      <scheme val="minor"/>
    </font>
    <font>
      <sz val="10"/>
      <color rgb="FF000000"/>
      <name val="Arial"/>
    </font>
    <font>
      <sz val="12"/>
      <color theme="1"/>
      <name val="Arial"/>
    </font>
    <font>
      <b/>
      <sz val="12"/>
      <color theme="1"/>
      <name val="Arial"/>
    </font>
    <font>
      <strike/>
      <sz val="11"/>
      <color theme="1"/>
      <name val="Calibri"/>
      <family val="2"/>
      <scheme val="minor"/>
    </font>
    <font>
      <b/>
      <sz val="12"/>
      <color theme="1"/>
      <name val="Arial"/>
      <family val="2"/>
    </font>
    <font>
      <sz val="12"/>
      <color theme="1"/>
      <name val="Arial"/>
      <family val="2"/>
    </font>
  </fonts>
  <fills count="6">
    <fill>
      <patternFill patternType="none"/>
    </fill>
    <fill>
      <patternFill patternType="gray125"/>
    </fill>
    <fill>
      <patternFill patternType="solid">
        <fgColor rgb="FFFFFFCC"/>
      </patternFill>
    </fill>
    <fill>
      <patternFill patternType="solid">
        <fgColor rgb="FFFFFF00"/>
        <bgColor indexed="64"/>
      </patternFill>
    </fill>
    <fill>
      <patternFill patternType="solid">
        <fgColor rgb="FFFFFF00"/>
        <bgColor rgb="FFFFFF00"/>
      </patternFill>
    </fill>
    <fill>
      <patternFill patternType="solid">
        <fgColor theme="6" tint="0.59999389629810485"/>
        <bgColor indexed="64"/>
      </patternFill>
    </fill>
  </fills>
  <borders count="8">
    <border>
      <left/>
      <right/>
      <top/>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right/>
      <top/>
      <bottom style="thin">
        <color rgb="FFB2B2B2"/>
      </bottom>
      <diagonal/>
    </border>
    <border>
      <left/>
      <right/>
      <top/>
      <bottom style="thin">
        <color auto="1"/>
      </bottom>
      <diagonal/>
    </border>
    <border>
      <left/>
      <right/>
      <top style="thin">
        <color auto="1"/>
      </top>
      <bottom/>
      <diagonal/>
    </border>
  </borders>
  <cellStyleXfs count="4">
    <xf numFmtId="0" fontId="0" fillId="0" borderId="0"/>
    <xf numFmtId="0" fontId="1" fillId="2" borderId="1" applyNumberFormat="0" applyFont="0" applyAlignment="0" applyProtection="0"/>
    <xf numFmtId="9" fontId="1" fillId="0" borderId="0" applyFont="0" applyFill="0" applyBorder="0" applyAlignment="0" applyProtection="0"/>
    <xf numFmtId="0" fontId="5" fillId="0" borderId="0"/>
  </cellStyleXfs>
  <cellXfs count="76">
    <xf numFmtId="0" fontId="0" fillId="0" borderId="0" xfId="0"/>
    <xf numFmtId="0" fontId="2" fillId="2" borderId="1" xfId="1" applyFont="1"/>
    <xf numFmtId="4" fontId="0" fillId="2" borderId="1" xfId="1" applyNumberFormat="1" applyFont="1"/>
    <xf numFmtId="0" fontId="0" fillId="0" borderId="0" xfId="0" applyAlignment="1">
      <alignment horizontal="right"/>
    </xf>
    <xf numFmtId="0" fontId="0" fillId="0" borderId="0" xfId="0" quotePrefix="1"/>
    <xf numFmtId="0" fontId="0" fillId="0" borderId="0" xfId="0" applyAlignment="1">
      <alignment horizontal="left"/>
    </xf>
    <xf numFmtId="2" fontId="0" fillId="0" borderId="0" xfId="0" applyNumberFormat="1" applyAlignment="1">
      <alignment horizontal="left"/>
    </xf>
    <xf numFmtId="9" fontId="0" fillId="0" borderId="0" xfId="0" applyNumberFormat="1" applyAlignment="1">
      <alignment horizontal="left"/>
    </xf>
    <xf numFmtId="0" fontId="0" fillId="2" borderId="2" xfId="1" applyFont="1" applyBorder="1" applyAlignment="1">
      <alignment horizontal="left"/>
    </xf>
    <xf numFmtId="0" fontId="0" fillId="2" borderId="3" xfId="1" applyFont="1" applyBorder="1" applyAlignment="1">
      <alignment horizontal="left"/>
    </xf>
    <xf numFmtId="0" fontId="0" fillId="2" borderId="4" xfId="1" applyFont="1" applyBorder="1" applyAlignment="1">
      <alignment horizontal="left"/>
    </xf>
    <xf numFmtId="0" fontId="2"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3" fontId="0" fillId="0" borderId="0" xfId="0" applyNumberFormat="1" applyAlignment="1">
      <alignment horizontal="left"/>
    </xf>
    <xf numFmtId="10" fontId="0" fillId="0" borderId="0" xfId="2" applyNumberFormat="1" applyFont="1"/>
    <xf numFmtId="0" fontId="0" fillId="0" borderId="6" xfId="0" applyBorder="1" applyAlignment="1">
      <alignment horizontal="center"/>
    </xf>
    <xf numFmtId="0" fontId="0" fillId="0" borderId="7" xfId="0" applyBorder="1" applyAlignment="1">
      <alignment horizontal="center"/>
    </xf>
    <xf numFmtId="0" fontId="0" fillId="0" borderId="0" xfId="0" quotePrefix="1" applyAlignment="1">
      <alignment horizontal="center"/>
    </xf>
    <xf numFmtId="9" fontId="0" fillId="0" borderId="0" xfId="2" applyNumberFormat="1" applyFont="1"/>
    <xf numFmtId="0" fontId="0" fillId="0" borderId="6" xfId="0" applyBorder="1"/>
    <xf numFmtId="3" fontId="0" fillId="0" borderId="0" xfId="0" applyNumberFormat="1"/>
    <xf numFmtId="4" fontId="2" fillId="0" borderId="0" xfId="0" applyNumberFormat="1" applyFont="1"/>
    <xf numFmtId="0" fontId="3" fillId="0" borderId="0" xfId="0" applyFont="1"/>
    <xf numFmtId="0" fontId="2" fillId="3" borderId="0" xfId="0" applyFont="1" applyFill="1"/>
    <xf numFmtId="0" fontId="4" fillId="0" borderId="0" xfId="0" applyFont="1"/>
    <xf numFmtId="2" fontId="0" fillId="0" borderId="0" xfId="0" applyNumberFormat="1"/>
    <xf numFmtId="4" fontId="6" fillId="0" borderId="0" xfId="3" applyNumberFormat="1" applyFont="1"/>
    <xf numFmtId="0" fontId="5" fillId="0" borderId="0" xfId="3" applyFont="1" applyAlignment="1"/>
    <xf numFmtId="4" fontId="7" fillId="0" borderId="0" xfId="3" applyNumberFormat="1" applyFont="1" applyAlignment="1"/>
    <xf numFmtId="4" fontId="6" fillId="0" borderId="0" xfId="3" applyNumberFormat="1" applyFont="1" applyAlignment="1"/>
    <xf numFmtId="4" fontId="6" fillId="0" borderId="0" xfId="3" applyNumberFormat="1" applyFont="1" applyAlignment="1">
      <alignment vertical="center"/>
    </xf>
    <xf numFmtId="4" fontId="6" fillId="0" borderId="0" xfId="3" applyNumberFormat="1" applyFont="1" applyAlignment="1">
      <alignment horizontal="right"/>
    </xf>
    <xf numFmtId="9" fontId="6" fillId="0" borderId="0" xfId="3" applyNumberFormat="1" applyFont="1" applyAlignment="1">
      <alignment horizontal="left"/>
    </xf>
    <xf numFmtId="4" fontId="6" fillId="0" borderId="0" xfId="3" applyNumberFormat="1" applyFont="1" applyAlignment="1">
      <alignment horizontal="left"/>
    </xf>
    <xf numFmtId="4" fontId="6" fillId="4" borderId="0" xfId="3" applyNumberFormat="1" applyFont="1" applyFill="1" applyAlignment="1">
      <alignment horizontal="left"/>
    </xf>
    <xf numFmtId="4" fontId="6" fillId="4" borderId="0" xfId="3" applyNumberFormat="1" applyFont="1" applyFill="1"/>
    <xf numFmtId="4" fontId="7" fillId="4" borderId="0" xfId="3" applyNumberFormat="1" applyFont="1" applyFill="1"/>
    <xf numFmtId="9" fontId="6" fillId="0" borderId="0" xfId="2" applyFont="1" applyAlignment="1">
      <alignment horizontal="left"/>
    </xf>
    <xf numFmtId="4" fontId="6" fillId="0" borderId="0" xfId="3" applyNumberFormat="1" applyFont="1" applyAlignment="1">
      <alignment horizontal="center"/>
    </xf>
    <xf numFmtId="4" fontId="6" fillId="3" borderId="0" xfId="3" applyNumberFormat="1" applyFont="1" applyFill="1" applyAlignment="1"/>
    <xf numFmtId="4" fontId="6" fillId="3" borderId="0" xfId="3" applyNumberFormat="1" applyFont="1" applyFill="1"/>
    <xf numFmtId="4" fontId="6" fillId="3" borderId="0" xfId="3" applyNumberFormat="1" applyFont="1" applyFill="1" applyAlignment="1">
      <alignment horizontal="left"/>
    </xf>
    <xf numFmtId="4" fontId="0" fillId="0" borderId="0" xfId="0" applyNumberFormat="1" applyAlignment="1">
      <alignment horizontal="center"/>
    </xf>
    <xf numFmtId="0" fontId="0" fillId="0" borderId="0" xfId="0" applyAlignment="1">
      <alignment horizontal="right"/>
    </xf>
    <xf numFmtId="4" fontId="0" fillId="0" borderId="0" xfId="0" applyNumberFormat="1" applyAlignment="1">
      <alignment horizontal="left"/>
    </xf>
    <xf numFmtId="4" fontId="0" fillId="0" borderId="0" xfId="0" quotePrefix="1" applyNumberFormat="1"/>
    <xf numFmtId="10" fontId="0" fillId="0" borderId="0" xfId="2" applyNumberFormat="1" applyFont="1" applyAlignment="1">
      <alignment horizontal="left"/>
    </xf>
    <xf numFmtId="0" fontId="0" fillId="0" borderId="6" xfId="0" quotePrefix="1" applyBorder="1"/>
    <xf numFmtId="164" fontId="0" fillId="0" borderId="0" xfId="2" applyNumberFormat="1" applyFont="1"/>
    <xf numFmtId="0" fontId="0" fillId="0" borderId="0" xfId="0" applyAlignment="1">
      <alignment horizontal="right"/>
    </xf>
    <xf numFmtId="0" fontId="8" fillId="0" borderId="0" xfId="0" applyFont="1"/>
    <xf numFmtId="4" fontId="8" fillId="0" borderId="0" xfId="0" applyNumberFormat="1" applyFont="1"/>
    <xf numFmtId="0" fontId="0" fillId="0" borderId="0" xfId="0" quotePrefix="1" applyFont="1"/>
    <xf numFmtId="2" fontId="0" fillId="0" borderId="0" xfId="2" applyNumberFormat="1" applyFont="1"/>
    <xf numFmtId="0" fontId="0" fillId="0" borderId="0" xfId="0" applyAlignment="1">
      <alignment horizontal="right"/>
    </xf>
    <xf numFmtId="0" fontId="0" fillId="3" borderId="0" xfId="0" applyFill="1" applyAlignment="1">
      <alignment horizontal="right"/>
    </xf>
    <xf numFmtId="0" fontId="0" fillId="3" borderId="0" xfId="0" applyFill="1"/>
    <xf numFmtId="0" fontId="0" fillId="0" borderId="0" xfId="0" applyAlignment="1">
      <alignment horizontal="right"/>
    </xf>
    <xf numFmtId="0" fontId="0" fillId="0" borderId="0" xfId="0" applyAlignment="1">
      <alignment horizontal="right"/>
    </xf>
    <xf numFmtId="4" fontId="9" fillId="0" borderId="0" xfId="3" applyNumberFormat="1" applyFont="1"/>
    <xf numFmtId="0" fontId="0" fillId="2" borderId="2" xfId="1" applyFont="1" applyBorder="1" applyAlignment="1">
      <alignment horizontal="left"/>
    </xf>
    <xf numFmtId="0" fontId="0" fillId="2" borderId="3" xfId="1" applyFont="1" applyBorder="1" applyAlignment="1">
      <alignment horizontal="left"/>
    </xf>
    <xf numFmtId="0" fontId="0" fillId="2" borderId="4" xfId="1" applyFont="1" applyBorder="1" applyAlignment="1">
      <alignment horizontal="left"/>
    </xf>
    <xf numFmtId="0" fontId="0" fillId="3" borderId="5" xfId="0" applyFill="1" applyBorder="1" applyAlignment="1">
      <alignment horizontal="center"/>
    </xf>
    <xf numFmtId="0" fontId="2" fillId="2" borderId="2" xfId="1" applyFont="1" applyBorder="1" applyAlignment="1">
      <alignment horizontal="left"/>
    </xf>
    <xf numFmtId="0" fontId="2" fillId="2" borderId="3" xfId="1" applyFont="1" applyBorder="1" applyAlignment="1">
      <alignment horizontal="left"/>
    </xf>
    <xf numFmtId="0" fontId="2" fillId="2" borderId="4" xfId="1" applyFont="1" applyBorder="1" applyAlignment="1">
      <alignment horizontal="left"/>
    </xf>
    <xf numFmtId="0" fontId="2" fillId="3" borderId="0" xfId="0" applyFont="1" applyFill="1" applyAlignment="1">
      <alignment horizontal="center"/>
    </xf>
    <xf numFmtId="0" fontId="0" fillId="0" borderId="0" xfId="0" applyAlignment="1">
      <alignment horizontal="right"/>
    </xf>
    <xf numFmtId="4" fontId="2" fillId="3" borderId="0" xfId="0" applyNumberFormat="1" applyFont="1" applyFill="1"/>
    <xf numFmtId="4" fontId="2" fillId="3" borderId="1" xfId="1" applyNumberFormat="1" applyFont="1" applyFill="1"/>
    <xf numFmtId="2" fontId="0" fillId="5" borderId="0" xfId="0" applyNumberFormat="1" applyFill="1" applyAlignment="1">
      <alignment horizontal="left"/>
    </xf>
    <xf numFmtId="4" fontId="2" fillId="5" borderId="0" xfId="0" applyNumberFormat="1" applyFont="1" applyFill="1"/>
    <xf numFmtId="4" fontId="10" fillId="0" borderId="0" xfId="3" applyNumberFormat="1" applyFont="1" applyAlignment="1"/>
  </cellXfs>
  <cellStyles count="4">
    <cellStyle name="Normal" xfId="0" builtinId="0"/>
    <cellStyle name="Normal 2" xfId="3"/>
    <cellStyle name="Notas" xfId="1" builtinId="10"/>
    <cellStyle name="Porcentaje"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258418</xdr:colOff>
      <xdr:row>38</xdr:row>
      <xdr:rowOff>46382</xdr:rowOff>
    </xdr:from>
    <xdr:to>
      <xdr:col>9</xdr:col>
      <xdr:colOff>112644</xdr:colOff>
      <xdr:row>42</xdr:row>
      <xdr:rowOff>53009</xdr:rowOff>
    </xdr:to>
    <xdr:sp macro="" textlink="">
      <xdr:nvSpPr>
        <xdr:cNvPr id="2" name="1 Abrir llave"/>
        <xdr:cNvSpPr/>
      </xdr:nvSpPr>
      <xdr:spPr>
        <a:xfrm>
          <a:off x="5455258" y="6630062"/>
          <a:ext cx="463826" cy="738147"/>
        </a:xfrm>
        <a:prstGeom prst="leftBrace">
          <a:avLst>
            <a:gd name="adj1" fmla="val 8333"/>
            <a:gd name="adj2" fmla="val 4911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W122"/>
  <sheetViews>
    <sheetView tabSelected="1" zoomScaleNormal="100" workbookViewId="0"/>
  </sheetViews>
  <sheetFormatPr baseColWidth="10" defaultColWidth="8.88671875" defaultRowHeight="14.4" x14ac:dyDescent="0.3"/>
  <cols>
    <col min="1" max="1" width="8.88671875" style="3"/>
    <col min="2" max="2" width="12.21875" customWidth="1"/>
    <col min="5" max="5" width="10.109375" bestFit="1" customWidth="1"/>
    <col min="6" max="6" width="8.33203125" customWidth="1"/>
    <col min="16" max="16" width="11.6640625" customWidth="1"/>
    <col min="21" max="21" width="9.5546875" customWidth="1"/>
    <col min="22" max="22" width="10.109375" bestFit="1" customWidth="1"/>
    <col min="23" max="23" width="11.88671875" bestFit="1" customWidth="1"/>
  </cols>
  <sheetData>
    <row r="1" spans="1:23" x14ac:dyDescent="0.3">
      <c r="A1" s="60"/>
    </row>
    <row r="2" spans="1:23" x14ac:dyDescent="0.3">
      <c r="B2" s="11" t="s">
        <v>474</v>
      </c>
    </row>
    <row r="3" spans="1:23" x14ac:dyDescent="0.3">
      <c r="A3" s="59"/>
      <c r="B3" s="11"/>
      <c r="T3" s="65" t="s">
        <v>40</v>
      </c>
      <c r="U3" s="65"/>
    </row>
    <row r="4" spans="1:23" x14ac:dyDescent="0.3">
      <c r="A4" s="12" t="s">
        <v>43</v>
      </c>
      <c r="B4" t="s">
        <v>44</v>
      </c>
      <c r="E4" s="7">
        <v>0.05</v>
      </c>
      <c r="Q4" s="66" t="s">
        <v>26</v>
      </c>
      <c r="R4" s="67"/>
      <c r="S4" s="67"/>
      <c r="T4" s="67"/>
      <c r="U4" s="68"/>
      <c r="V4" s="1" t="s">
        <v>24</v>
      </c>
      <c r="W4" s="1" t="s">
        <v>25</v>
      </c>
    </row>
    <row r="5" spans="1:23" x14ac:dyDescent="0.3">
      <c r="A5" s="3" t="s">
        <v>27</v>
      </c>
      <c r="Q5" s="62" t="s">
        <v>0</v>
      </c>
      <c r="R5" s="63"/>
      <c r="S5" s="63"/>
      <c r="T5" s="63"/>
      <c r="U5" s="64"/>
      <c r="V5" s="2">
        <v>12500</v>
      </c>
      <c r="W5" s="2"/>
    </row>
    <row r="6" spans="1:23" x14ac:dyDescent="0.3">
      <c r="A6" s="3" t="s">
        <v>28</v>
      </c>
      <c r="B6" t="s">
        <v>30</v>
      </c>
      <c r="Q6" s="62" t="s">
        <v>1</v>
      </c>
      <c r="R6" s="63"/>
      <c r="S6" s="63"/>
      <c r="T6" s="63"/>
      <c r="U6" s="64"/>
      <c r="V6" s="2">
        <v>25000</v>
      </c>
      <c r="W6" s="2"/>
    </row>
    <row r="7" spans="1:23" x14ac:dyDescent="0.3">
      <c r="B7" t="s">
        <v>29</v>
      </c>
      <c r="Q7" s="62" t="s">
        <v>2</v>
      </c>
      <c r="R7" s="63"/>
      <c r="S7" s="63"/>
      <c r="T7" s="63"/>
      <c r="U7" s="64"/>
      <c r="V7" s="2"/>
      <c r="W7" s="2">
        <v>600</v>
      </c>
    </row>
    <row r="8" spans="1:23" x14ac:dyDescent="0.3">
      <c r="Q8" s="62" t="s">
        <v>3</v>
      </c>
      <c r="R8" s="63"/>
      <c r="S8" s="63"/>
      <c r="T8" s="63"/>
      <c r="U8" s="64"/>
      <c r="V8" s="2"/>
      <c r="W8" s="2">
        <v>1500</v>
      </c>
    </row>
    <row r="9" spans="1:23" x14ac:dyDescent="0.3">
      <c r="B9" t="s">
        <v>31</v>
      </c>
      <c r="Q9" s="62" t="s">
        <v>4</v>
      </c>
      <c r="R9" s="63"/>
      <c r="S9" s="63"/>
      <c r="T9" s="63"/>
      <c r="U9" s="64"/>
      <c r="V9" s="2"/>
      <c r="W9" s="2">
        <v>200</v>
      </c>
    </row>
    <row r="10" spans="1:23" x14ac:dyDescent="0.3">
      <c r="B10" t="s">
        <v>32</v>
      </c>
      <c r="Q10" s="62" t="s">
        <v>5</v>
      </c>
      <c r="R10" s="63"/>
      <c r="S10" s="63"/>
      <c r="T10" s="63"/>
      <c r="U10" s="64"/>
      <c r="V10" s="2"/>
      <c r="W10" s="2">
        <v>84400</v>
      </c>
    </row>
    <row r="11" spans="1:23" x14ac:dyDescent="0.3">
      <c r="B11" t="s">
        <v>33</v>
      </c>
      <c r="Q11" s="62" t="s">
        <v>6</v>
      </c>
      <c r="R11" s="63"/>
      <c r="S11" s="63"/>
      <c r="T11" s="63"/>
      <c r="U11" s="64"/>
      <c r="V11" s="2">
        <v>2743</v>
      </c>
      <c r="W11" s="2"/>
    </row>
    <row r="12" spans="1:23" x14ac:dyDescent="0.3">
      <c r="B12" t="s">
        <v>34</v>
      </c>
      <c r="Q12" s="62" t="s">
        <v>7</v>
      </c>
      <c r="R12" s="63"/>
      <c r="S12" s="63"/>
      <c r="T12" s="63"/>
      <c r="U12" s="64"/>
      <c r="V12" s="2">
        <v>40000</v>
      </c>
      <c r="W12" s="2"/>
    </row>
    <row r="13" spans="1:23" x14ac:dyDescent="0.3">
      <c r="Q13" s="62" t="s">
        <v>8</v>
      </c>
      <c r="R13" s="63"/>
      <c r="S13" s="63"/>
      <c r="T13" s="63"/>
      <c r="U13" s="64"/>
      <c r="V13" s="2">
        <v>1000</v>
      </c>
      <c r="W13" s="2"/>
    </row>
    <row r="14" spans="1:23" x14ac:dyDescent="0.3">
      <c r="B14" t="s">
        <v>35</v>
      </c>
      <c r="Q14" s="62" t="s">
        <v>9</v>
      </c>
      <c r="R14" s="63"/>
      <c r="S14" s="63"/>
      <c r="T14" s="63"/>
      <c r="U14" s="64"/>
      <c r="V14" s="2">
        <v>37500</v>
      </c>
      <c r="W14" s="2"/>
    </row>
    <row r="15" spans="1:23" x14ac:dyDescent="0.3">
      <c r="Q15" s="62" t="s">
        <v>10</v>
      </c>
      <c r="R15" s="63"/>
      <c r="S15" s="63"/>
      <c r="T15" s="63"/>
      <c r="U15" s="64"/>
      <c r="V15" s="2">
        <v>50000</v>
      </c>
      <c r="W15" s="2"/>
    </row>
    <row r="16" spans="1:23" x14ac:dyDescent="0.3">
      <c r="B16" t="s">
        <v>479</v>
      </c>
      <c r="Q16" s="62" t="s">
        <v>11</v>
      </c>
      <c r="R16" s="63"/>
      <c r="S16" s="63"/>
      <c r="T16" s="63"/>
      <c r="U16" s="64"/>
      <c r="V16" s="2"/>
      <c r="W16" s="2">
        <v>12000</v>
      </c>
    </row>
    <row r="17" spans="1:23" x14ac:dyDescent="0.3">
      <c r="B17" s="4" t="s">
        <v>36</v>
      </c>
      <c r="C17" s="5">
        <f>576/4*3</f>
        <v>432</v>
      </c>
      <c r="D17" s="4" t="s">
        <v>37</v>
      </c>
      <c r="F17" s="6">
        <f>432*(1+E4)^(-3)</f>
        <v>373.17784256559764</v>
      </c>
      <c r="Q17" s="62" t="s">
        <v>12</v>
      </c>
      <c r="R17" s="63"/>
      <c r="S17" s="63"/>
      <c r="T17" s="63"/>
      <c r="U17" s="64"/>
      <c r="V17" s="2">
        <v>20000</v>
      </c>
      <c r="W17" s="2"/>
    </row>
    <row r="18" spans="1:23" x14ac:dyDescent="0.3">
      <c r="Q18" s="62" t="s">
        <v>13</v>
      </c>
      <c r="R18" s="63"/>
      <c r="S18" s="63"/>
      <c r="T18" s="63"/>
      <c r="U18" s="64"/>
      <c r="V18" s="2">
        <v>15000</v>
      </c>
      <c r="W18" s="2"/>
    </row>
    <row r="19" spans="1:23" x14ac:dyDescent="0.3">
      <c r="B19" t="s">
        <v>38</v>
      </c>
      <c r="Q19" s="62" t="s">
        <v>45</v>
      </c>
      <c r="R19" s="63"/>
      <c r="S19" s="63"/>
      <c r="T19" s="63"/>
      <c r="U19" s="64"/>
      <c r="V19" s="2"/>
      <c r="W19" s="2">
        <v>600</v>
      </c>
    </row>
    <row r="20" spans="1:23" x14ac:dyDescent="0.3">
      <c r="B20" t="s">
        <v>371</v>
      </c>
      <c r="Q20" s="62" t="s">
        <v>14</v>
      </c>
      <c r="R20" s="63"/>
      <c r="S20" s="63"/>
      <c r="T20" s="63"/>
      <c r="U20" s="64"/>
      <c r="V20" s="2"/>
      <c r="W20" s="2">
        <v>40500</v>
      </c>
    </row>
    <row r="21" spans="1:23" x14ac:dyDescent="0.3">
      <c r="Q21" s="62" t="s">
        <v>15</v>
      </c>
      <c r="R21" s="63"/>
      <c r="S21" s="63"/>
      <c r="T21" s="63"/>
      <c r="U21" s="64"/>
      <c r="V21" s="2"/>
      <c r="W21" s="2">
        <v>10000</v>
      </c>
    </row>
    <row r="22" spans="1:23" x14ac:dyDescent="0.3">
      <c r="B22" t="s">
        <v>41</v>
      </c>
      <c r="F22" s="6">
        <f>F17/4*(4/12+2)</f>
        <v>217.68707482993196</v>
      </c>
      <c r="G22" t="s">
        <v>372</v>
      </c>
      <c r="Q22" s="62" t="s">
        <v>16</v>
      </c>
      <c r="R22" s="63"/>
      <c r="S22" s="63"/>
      <c r="T22" s="63"/>
      <c r="U22" s="64"/>
      <c r="V22" s="2">
        <v>400</v>
      </c>
      <c r="W22" s="2"/>
    </row>
    <row r="23" spans="1:23" x14ac:dyDescent="0.3">
      <c r="B23" t="s">
        <v>42</v>
      </c>
      <c r="E23" s="6">
        <f>F17*(1+E4)^(4/12+2)</f>
        <v>418.17450108953972</v>
      </c>
      <c r="F23" s="5" t="s">
        <v>372</v>
      </c>
      <c r="Q23" s="62" t="s">
        <v>17</v>
      </c>
      <c r="R23" s="63"/>
      <c r="S23" s="63"/>
      <c r="T23" s="63"/>
      <c r="U23" s="64"/>
      <c r="V23" s="2"/>
      <c r="W23" s="2">
        <v>30000</v>
      </c>
    </row>
    <row r="24" spans="1:23" x14ac:dyDescent="0.3">
      <c r="Q24" s="62" t="s">
        <v>18</v>
      </c>
      <c r="R24" s="63"/>
      <c r="S24" s="63"/>
      <c r="T24" s="63"/>
      <c r="U24" s="64"/>
      <c r="V24" s="2"/>
      <c r="W24" s="2">
        <v>68937.47</v>
      </c>
    </row>
    <row r="25" spans="1:23" x14ac:dyDescent="0.3">
      <c r="A25" s="3" t="s">
        <v>50</v>
      </c>
      <c r="B25" t="s">
        <v>51</v>
      </c>
      <c r="Q25" s="62" t="s">
        <v>19</v>
      </c>
      <c r="R25" s="63"/>
      <c r="S25" s="63"/>
      <c r="T25" s="63"/>
      <c r="U25" s="64"/>
      <c r="V25" s="2">
        <v>30000</v>
      </c>
      <c r="W25" s="2"/>
    </row>
    <row r="26" spans="1:23" x14ac:dyDescent="0.3">
      <c r="B26" t="s">
        <v>52</v>
      </c>
      <c r="Q26" s="62" t="s">
        <v>20</v>
      </c>
      <c r="R26" s="63"/>
      <c r="S26" s="63"/>
      <c r="T26" s="63"/>
      <c r="U26" s="64"/>
      <c r="V26" s="2"/>
      <c r="W26" s="2">
        <v>15000</v>
      </c>
    </row>
    <row r="27" spans="1:23" x14ac:dyDescent="0.3">
      <c r="B27" t="s">
        <v>53</v>
      </c>
      <c r="Q27" s="62" t="s">
        <v>21</v>
      </c>
      <c r="R27" s="63"/>
      <c r="S27" s="63"/>
      <c r="T27" s="63"/>
      <c r="U27" s="64"/>
      <c r="V27" s="2">
        <v>26000</v>
      </c>
      <c r="W27" s="2"/>
    </row>
    <row r="28" spans="1:23" x14ac:dyDescent="0.3">
      <c r="Q28" s="62" t="s">
        <v>22</v>
      </c>
      <c r="R28" s="63"/>
      <c r="S28" s="63"/>
      <c r="T28" s="63"/>
      <c r="U28" s="64"/>
      <c r="V28" s="2"/>
      <c r="W28" s="2">
        <v>2500</v>
      </c>
    </row>
    <row r="29" spans="1:23" x14ac:dyDescent="0.3">
      <c r="B29" t="s">
        <v>54</v>
      </c>
      <c r="P29" t="s">
        <v>361</v>
      </c>
      <c r="Q29" s="62" t="s">
        <v>39</v>
      </c>
      <c r="R29" s="63"/>
      <c r="S29" s="63"/>
      <c r="T29" s="63"/>
      <c r="U29" s="64"/>
      <c r="V29" s="2">
        <v>1440</v>
      </c>
      <c r="W29" s="2"/>
    </row>
    <row r="30" spans="1:23" x14ac:dyDescent="0.3">
      <c r="B30" s="4" t="s">
        <v>55</v>
      </c>
      <c r="P30" t="s">
        <v>361</v>
      </c>
      <c r="Q30" s="62" t="s">
        <v>48</v>
      </c>
      <c r="R30" s="63"/>
      <c r="S30" s="63"/>
      <c r="T30" s="63"/>
      <c r="U30" s="64"/>
      <c r="V30" s="2">
        <f>F17</f>
        <v>373.17784256559764</v>
      </c>
      <c r="W30" s="2"/>
    </row>
    <row r="31" spans="1:23" x14ac:dyDescent="0.3">
      <c r="B31" s="4" t="s">
        <v>56</v>
      </c>
      <c r="P31" t="s">
        <v>361</v>
      </c>
      <c r="Q31" s="62" t="s">
        <v>49</v>
      </c>
      <c r="R31" s="63"/>
      <c r="S31" s="63"/>
      <c r="T31" s="63"/>
      <c r="U31" s="64"/>
      <c r="V31" s="2"/>
      <c r="W31" s="2">
        <f>V29/4*(4/12+2)</f>
        <v>840</v>
      </c>
    </row>
    <row r="32" spans="1:23" x14ac:dyDescent="0.3">
      <c r="B32" t="s">
        <v>57</v>
      </c>
      <c r="P32" t="s">
        <v>361</v>
      </c>
      <c r="Q32" s="62" t="s">
        <v>46</v>
      </c>
      <c r="R32" s="63"/>
      <c r="S32" s="63"/>
      <c r="T32" s="63"/>
      <c r="U32" s="64"/>
      <c r="V32" s="2"/>
      <c r="W32" s="2">
        <f>F22</f>
        <v>217.68707482993196</v>
      </c>
    </row>
    <row r="33" spans="1:23" x14ac:dyDescent="0.3">
      <c r="P33" t="s">
        <v>361</v>
      </c>
      <c r="Q33" s="8" t="s">
        <v>47</v>
      </c>
      <c r="R33" s="9"/>
      <c r="S33" s="9"/>
      <c r="T33" s="9"/>
      <c r="U33" s="10"/>
      <c r="V33" s="2"/>
      <c r="W33" s="2">
        <f>E23</f>
        <v>418.17450108953972</v>
      </c>
    </row>
    <row r="34" spans="1:23" x14ac:dyDescent="0.3">
      <c r="P34" t="s">
        <v>362</v>
      </c>
      <c r="Q34" s="62" t="s">
        <v>58</v>
      </c>
      <c r="R34" s="63"/>
      <c r="S34" s="63"/>
      <c r="T34" s="63"/>
      <c r="U34" s="64"/>
      <c r="V34" s="2"/>
      <c r="W34" s="2">
        <v>300</v>
      </c>
    </row>
    <row r="35" spans="1:23" x14ac:dyDescent="0.3">
      <c r="A35" s="12" t="s">
        <v>27</v>
      </c>
      <c r="B35" t="s">
        <v>127</v>
      </c>
      <c r="Q35" s="62"/>
      <c r="R35" s="63"/>
      <c r="S35" s="63"/>
      <c r="T35" s="63"/>
      <c r="U35" s="64"/>
      <c r="V35" s="2"/>
      <c r="W35" s="2"/>
    </row>
    <row r="36" spans="1:23" x14ac:dyDescent="0.3">
      <c r="Q36" s="62"/>
      <c r="R36" s="63"/>
      <c r="S36" s="63"/>
      <c r="T36" s="63"/>
      <c r="U36" s="64"/>
      <c r="V36" s="2"/>
      <c r="W36" s="2"/>
    </row>
    <row r="37" spans="1:23" x14ac:dyDescent="0.3">
      <c r="A37" s="3">
        <v>1</v>
      </c>
      <c r="B37" t="s">
        <v>378</v>
      </c>
      <c r="Q37" s="62"/>
      <c r="R37" s="63"/>
      <c r="S37" s="63"/>
      <c r="T37" s="63"/>
      <c r="U37" s="64"/>
      <c r="V37" s="2"/>
      <c r="W37" s="2"/>
    </row>
    <row r="38" spans="1:23" x14ac:dyDescent="0.3">
      <c r="Q38" s="62"/>
      <c r="R38" s="63"/>
      <c r="S38" s="63"/>
      <c r="T38" s="63"/>
      <c r="U38" s="64"/>
      <c r="V38" s="2"/>
      <c r="W38" s="2"/>
    </row>
    <row r="39" spans="1:23" x14ac:dyDescent="0.3">
      <c r="B39" s="14">
        <f>H39+2500+H41</f>
        <v>69500</v>
      </c>
      <c r="C39" t="s">
        <v>358</v>
      </c>
      <c r="E39" t="s">
        <v>78</v>
      </c>
      <c r="F39" t="s">
        <v>23</v>
      </c>
      <c r="H39" s="14">
        <v>50000</v>
      </c>
      <c r="I39" t="s">
        <v>383</v>
      </c>
      <c r="Q39" s="62" t="s">
        <v>23</v>
      </c>
      <c r="R39" s="63"/>
      <c r="S39" s="63"/>
      <c r="T39" s="63"/>
      <c r="U39" s="64"/>
      <c r="V39" s="72">
        <f>SUM(W5:W39)-SUM(V5:V38)</f>
        <v>6057.1537333538581</v>
      </c>
      <c r="W39" s="2"/>
    </row>
    <row r="40" spans="1:23" x14ac:dyDescent="0.3">
      <c r="B40" s="14">
        <v>10000</v>
      </c>
      <c r="C40" t="s">
        <v>366</v>
      </c>
      <c r="F40" t="s">
        <v>365</v>
      </c>
      <c r="H40" s="14">
        <f>B40+2500</f>
        <v>12500</v>
      </c>
      <c r="I40" s="4" t="s">
        <v>368</v>
      </c>
    </row>
    <row r="41" spans="1:23" x14ac:dyDescent="0.3">
      <c r="F41" t="s">
        <v>367</v>
      </c>
      <c r="H41" s="14">
        <v>17000</v>
      </c>
      <c r="I41" s="4"/>
    </row>
    <row r="42" spans="1:23" x14ac:dyDescent="0.3">
      <c r="B42" s="14"/>
      <c r="H42" s="14"/>
    </row>
    <row r="44" spans="1:23" x14ac:dyDescent="0.3">
      <c r="A44" s="3">
        <v>2</v>
      </c>
      <c r="B44" t="s">
        <v>379</v>
      </c>
    </row>
    <row r="45" spans="1:23" x14ac:dyDescent="0.3">
      <c r="A45" s="45"/>
    </row>
    <row r="46" spans="1:23" x14ac:dyDescent="0.3">
      <c r="A46" s="45"/>
      <c r="B46">
        <f>720/3*(8/12)</f>
        <v>160</v>
      </c>
      <c r="C46" t="s">
        <v>268</v>
      </c>
      <c r="F46" t="s">
        <v>179</v>
      </c>
      <c r="G46">
        <f>B46</f>
        <v>160</v>
      </c>
    </row>
    <row r="47" spans="1:23" x14ac:dyDescent="0.3">
      <c r="A47" s="45"/>
      <c r="B47" s="27">
        <f>C17-E23</f>
        <v>13.825498910460283</v>
      </c>
      <c r="C47" t="s">
        <v>369</v>
      </c>
      <c r="F47" t="s">
        <v>359</v>
      </c>
      <c r="G47" s="27">
        <f>B47</f>
        <v>13.825498910460283</v>
      </c>
    </row>
    <row r="48" spans="1:23" x14ac:dyDescent="0.3">
      <c r="A48" s="45"/>
    </row>
    <row r="49" spans="1:8" x14ac:dyDescent="0.3">
      <c r="A49" s="45"/>
      <c r="B49" t="s">
        <v>379</v>
      </c>
    </row>
    <row r="50" spans="1:8" x14ac:dyDescent="0.3">
      <c r="A50" s="45"/>
    </row>
    <row r="51" spans="1:8" x14ac:dyDescent="0.3">
      <c r="A51" s="45"/>
      <c r="B51">
        <v>720</v>
      </c>
      <c r="C51" t="s">
        <v>179</v>
      </c>
      <c r="F51" t="s">
        <v>360</v>
      </c>
      <c r="G51">
        <v>720</v>
      </c>
    </row>
    <row r="52" spans="1:8" x14ac:dyDescent="0.3">
      <c r="A52" s="45"/>
      <c r="B52">
        <f>C17</f>
        <v>432</v>
      </c>
      <c r="C52" t="s">
        <v>359</v>
      </c>
      <c r="F52" t="s">
        <v>23</v>
      </c>
      <c r="G52">
        <v>576</v>
      </c>
    </row>
    <row r="53" spans="1:8" x14ac:dyDescent="0.3">
      <c r="A53" s="45"/>
      <c r="B53">
        <f>G52-B52</f>
        <v>144</v>
      </c>
      <c r="C53" t="s">
        <v>370</v>
      </c>
    </row>
    <row r="54" spans="1:8" x14ac:dyDescent="0.3">
      <c r="A54" s="45"/>
    </row>
    <row r="55" spans="1:8" x14ac:dyDescent="0.3">
      <c r="B55" s="14"/>
      <c r="H55" s="14"/>
    </row>
    <row r="56" spans="1:8" x14ac:dyDescent="0.3">
      <c r="A56" s="3">
        <v>3</v>
      </c>
      <c r="B56" t="s">
        <v>380</v>
      </c>
    </row>
    <row r="58" spans="1:8" x14ac:dyDescent="0.3">
      <c r="B58" s="14">
        <f>H58</f>
        <v>31500</v>
      </c>
      <c r="C58" t="s">
        <v>23</v>
      </c>
      <c r="E58" t="s">
        <v>78</v>
      </c>
      <c r="F58" t="s">
        <v>373</v>
      </c>
      <c r="H58" s="14">
        <f>300*105</f>
        <v>31500</v>
      </c>
    </row>
    <row r="59" spans="1:8" x14ac:dyDescent="0.3">
      <c r="A59" s="45"/>
      <c r="B59" s="14"/>
      <c r="H59" s="14"/>
    </row>
    <row r="60" spans="1:8" x14ac:dyDescent="0.3">
      <c r="B60" s="14" t="s">
        <v>473</v>
      </c>
      <c r="H60" s="14"/>
    </row>
    <row r="61" spans="1:8" x14ac:dyDescent="0.3">
      <c r="B61" t="s">
        <v>472</v>
      </c>
    </row>
    <row r="62" spans="1:8" x14ac:dyDescent="0.3">
      <c r="A62" s="45"/>
      <c r="B62" t="s">
        <v>374</v>
      </c>
    </row>
    <row r="63" spans="1:8" x14ac:dyDescent="0.3">
      <c r="A63" s="45"/>
    </row>
    <row r="64" spans="1:8" x14ac:dyDescent="0.3">
      <c r="A64" s="3">
        <v>4</v>
      </c>
      <c r="B64" t="s">
        <v>381</v>
      </c>
    </row>
    <row r="66" spans="1:9" x14ac:dyDescent="0.3">
      <c r="B66" s="14">
        <v>300</v>
      </c>
      <c r="C66" t="s">
        <v>376</v>
      </c>
      <c r="E66" t="s">
        <v>78</v>
      </c>
      <c r="F66" t="s">
        <v>23</v>
      </c>
      <c r="H66" s="14">
        <v>300</v>
      </c>
      <c r="I66" t="s">
        <v>377</v>
      </c>
    </row>
    <row r="67" spans="1:9" x14ac:dyDescent="0.3">
      <c r="A67" s="45"/>
      <c r="B67" s="14"/>
      <c r="H67" s="14"/>
    </row>
    <row r="68" spans="1:9" x14ac:dyDescent="0.3">
      <c r="A68" s="45"/>
      <c r="B68" t="s">
        <v>382</v>
      </c>
      <c r="H68" s="14"/>
    </row>
    <row r="69" spans="1:9" x14ac:dyDescent="0.3">
      <c r="A69" s="45"/>
      <c r="H69" s="14"/>
    </row>
    <row r="70" spans="1:9" x14ac:dyDescent="0.3">
      <c r="B70">
        <f>G71+G70-B71</f>
        <v>500</v>
      </c>
      <c r="C70" t="s">
        <v>375</v>
      </c>
      <c r="F70" t="s">
        <v>23</v>
      </c>
      <c r="G70">
        <v>550</v>
      </c>
      <c r="H70" s="14"/>
    </row>
    <row r="71" spans="1:9" x14ac:dyDescent="0.3">
      <c r="A71" s="45"/>
      <c r="B71">
        <v>200</v>
      </c>
      <c r="C71" t="s">
        <v>480</v>
      </c>
      <c r="F71" t="s">
        <v>376</v>
      </c>
      <c r="G71">
        <v>150</v>
      </c>
      <c r="H71" s="14"/>
    </row>
    <row r="72" spans="1:9" x14ac:dyDescent="0.3">
      <c r="A72" s="45"/>
      <c r="H72" s="14"/>
    </row>
    <row r="74" spans="1:9" x14ac:dyDescent="0.3">
      <c r="A74" s="45">
        <v>5</v>
      </c>
      <c r="B74" t="s">
        <v>382</v>
      </c>
    </row>
    <row r="76" spans="1:9" x14ac:dyDescent="0.3">
      <c r="B76" s="14">
        <f>H76-B77</f>
        <v>6000</v>
      </c>
      <c r="C76" t="s">
        <v>384</v>
      </c>
      <c r="E76" t="s">
        <v>78</v>
      </c>
      <c r="F76" t="s">
        <v>331</v>
      </c>
      <c r="H76" s="14">
        <v>60000</v>
      </c>
    </row>
    <row r="77" spans="1:9" x14ac:dyDescent="0.3">
      <c r="A77" s="45"/>
      <c r="B77" s="14">
        <f>H76*0.9</f>
        <v>54000</v>
      </c>
      <c r="C77" t="s">
        <v>23</v>
      </c>
      <c r="H77" s="14"/>
    </row>
    <row r="78" spans="1:9" x14ac:dyDescent="0.3">
      <c r="B78" s="14"/>
      <c r="H78" s="14"/>
    </row>
    <row r="80" spans="1:9" x14ac:dyDescent="0.3">
      <c r="A80" s="45">
        <v>6</v>
      </c>
      <c r="B80" t="s">
        <v>382</v>
      </c>
    </row>
    <row r="81" spans="1:10" x14ac:dyDescent="0.3">
      <c r="A81" s="45"/>
    </row>
    <row r="82" spans="1:10" x14ac:dyDescent="0.3">
      <c r="A82" s="45"/>
      <c r="B82" s="14">
        <v>20000</v>
      </c>
      <c r="C82" t="s">
        <v>23</v>
      </c>
      <c r="E82" t="s">
        <v>78</v>
      </c>
      <c r="F82" t="s">
        <v>1</v>
      </c>
      <c r="H82" s="14">
        <v>20000</v>
      </c>
    </row>
    <row r="83" spans="1:10" x14ac:dyDescent="0.3">
      <c r="A83" s="45"/>
      <c r="H83" t="s">
        <v>419</v>
      </c>
    </row>
    <row r="84" spans="1:10" x14ac:dyDescent="0.3">
      <c r="A84" s="45"/>
      <c r="B84" t="s">
        <v>382</v>
      </c>
    </row>
    <row r="85" spans="1:10" x14ac:dyDescent="0.3">
      <c r="I85" t="s">
        <v>481</v>
      </c>
    </row>
    <row r="86" spans="1:10" x14ac:dyDescent="0.3">
      <c r="B86" s="14">
        <v>1000</v>
      </c>
      <c r="C86" t="s">
        <v>385</v>
      </c>
      <c r="E86" t="s">
        <v>78</v>
      </c>
      <c r="F86" t="s">
        <v>23</v>
      </c>
      <c r="H86" s="14">
        <v>1000</v>
      </c>
    </row>
    <row r="87" spans="1:10" x14ac:dyDescent="0.3">
      <c r="A87" s="45"/>
      <c r="B87" s="14"/>
      <c r="H87" s="14"/>
    </row>
    <row r="88" spans="1:10" x14ac:dyDescent="0.3">
      <c r="B88" t="s">
        <v>382</v>
      </c>
    </row>
    <row r="90" spans="1:10" x14ac:dyDescent="0.3">
      <c r="B90" s="14">
        <f>H90</f>
        <v>440</v>
      </c>
      <c r="C90" t="s">
        <v>386</v>
      </c>
      <c r="E90" t="s">
        <v>78</v>
      </c>
      <c r="F90" t="s">
        <v>387</v>
      </c>
      <c r="H90" s="14">
        <f>(5000+6000)*0.04</f>
        <v>440</v>
      </c>
    </row>
    <row r="91" spans="1:10" x14ac:dyDescent="0.3">
      <c r="A91" s="45"/>
      <c r="B91" s="14">
        <f>H91</f>
        <v>600</v>
      </c>
      <c r="C91" t="s">
        <v>388</v>
      </c>
      <c r="F91" t="s">
        <v>389</v>
      </c>
      <c r="H91" s="14">
        <v>600</v>
      </c>
      <c r="I91" t="s">
        <v>390</v>
      </c>
    </row>
    <row r="94" spans="1:10" x14ac:dyDescent="0.3">
      <c r="A94" s="3" t="s">
        <v>396</v>
      </c>
      <c r="B94" t="s">
        <v>378</v>
      </c>
    </row>
    <row r="95" spans="1:10" x14ac:dyDescent="0.3">
      <c r="J95" t="s">
        <v>392</v>
      </c>
    </row>
    <row r="96" spans="1:10" x14ac:dyDescent="0.3">
      <c r="B96" s="14">
        <f>K105</f>
        <v>20400</v>
      </c>
      <c r="C96" t="s">
        <v>391</v>
      </c>
      <c r="E96" t="s">
        <v>78</v>
      </c>
      <c r="F96" t="s">
        <v>391</v>
      </c>
      <c r="H96" s="22">
        <f>K97</f>
        <v>12500</v>
      </c>
    </row>
    <row r="97" spans="1:14" x14ac:dyDescent="0.3">
      <c r="F97" t="s">
        <v>404</v>
      </c>
      <c r="H97" s="14">
        <f>B96-H96</f>
        <v>7900</v>
      </c>
      <c r="J97" s="11" t="s">
        <v>393</v>
      </c>
      <c r="K97" s="14">
        <f>V5</f>
        <v>12500</v>
      </c>
      <c r="L97" t="s">
        <v>394</v>
      </c>
    </row>
    <row r="98" spans="1:14" x14ac:dyDescent="0.3">
      <c r="J98" s="11" t="s">
        <v>395</v>
      </c>
    </row>
    <row r="99" spans="1:14" x14ac:dyDescent="0.3">
      <c r="B99" t="s">
        <v>378</v>
      </c>
      <c r="K99" t="s">
        <v>397</v>
      </c>
      <c r="L99" s="14">
        <v>40000</v>
      </c>
      <c r="M99" t="s">
        <v>399</v>
      </c>
    </row>
    <row r="100" spans="1:14" x14ac:dyDescent="0.3">
      <c r="K100" t="s">
        <v>398</v>
      </c>
      <c r="L100" s="14">
        <v>600</v>
      </c>
      <c r="M100" s="14"/>
      <c r="N100" s="14"/>
    </row>
    <row r="101" spans="1:14" x14ac:dyDescent="0.3">
      <c r="B101" s="14">
        <v>400</v>
      </c>
      <c r="C101" t="s">
        <v>386</v>
      </c>
      <c r="E101" t="s">
        <v>78</v>
      </c>
      <c r="F101" t="s">
        <v>405</v>
      </c>
      <c r="H101" s="14">
        <v>400</v>
      </c>
      <c r="K101" t="s">
        <v>401</v>
      </c>
      <c r="L101" s="14">
        <v>1500</v>
      </c>
      <c r="M101" s="14"/>
      <c r="N101" s="14"/>
    </row>
    <row r="102" spans="1:14" x14ac:dyDescent="0.3">
      <c r="B102" s="14">
        <f>H102</f>
        <v>200</v>
      </c>
      <c r="C102" t="s">
        <v>405</v>
      </c>
      <c r="F102" t="s">
        <v>406</v>
      </c>
      <c r="H102" s="14">
        <f>W9</f>
        <v>200</v>
      </c>
      <c r="K102" t="s">
        <v>400</v>
      </c>
      <c r="L102" s="14">
        <f>L99-L100-L101</f>
        <v>37900</v>
      </c>
      <c r="M102" s="14"/>
      <c r="N102" s="14"/>
    </row>
    <row r="103" spans="1:14" x14ac:dyDescent="0.3">
      <c r="J103" s="11" t="s">
        <v>402</v>
      </c>
      <c r="K103" s="14">
        <v>30000</v>
      </c>
    </row>
    <row r="105" spans="1:14" x14ac:dyDescent="0.3">
      <c r="J105" s="11" t="s">
        <v>403</v>
      </c>
      <c r="K105" s="14">
        <f>K97+L102-K103</f>
        <v>20400</v>
      </c>
    </row>
    <row r="106" spans="1:14" x14ac:dyDescent="0.3">
      <c r="A106" s="60"/>
      <c r="K106" s="14"/>
    </row>
    <row r="107" spans="1:14" x14ac:dyDescent="0.3">
      <c r="A107" s="60"/>
      <c r="B107" t="s">
        <v>482</v>
      </c>
      <c r="K107" s="14"/>
    </row>
    <row r="108" spans="1:14" x14ac:dyDescent="0.3">
      <c r="A108" s="60"/>
      <c r="K108" s="14"/>
    </row>
    <row r="110" spans="1:14" x14ac:dyDescent="0.3">
      <c r="A110" s="12" t="s">
        <v>275</v>
      </c>
      <c r="B110" t="s">
        <v>363</v>
      </c>
      <c r="E110" t="s">
        <v>412</v>
      </c>
    </row>
    <row r="111" spans="1:14" x14ac:dyDescent="0.3">
      <c r="B111" t="s">
        <v>483</v>
      </c>
      <c r="C111" t="s">
        <v>407</v>
      </c>
      <c r="E111" s="14">
        <f>H58</f>
        <v>31500</v>
      </c>
      <c r="F111" s="19" t="s">
        <v>411</v>
      </c>
      <c r="G111" s="14">
        <f>W10</f>
        <v>84400</v>
      </c>
    </row>
    <row r="112" spans="1:14" x14ac:dyDescent="0.3">
      <c r="C112" t="s">
        <v>409</v>
      </c>
      <c r="E112" s="14">
        <f>B86</f>
        <v>1000</v>
      </c>
    </row>
    <row r="113" spans="2:6" x14ac:dyDescent="0.3">
      <c r="C113" t="s">
        <v>410</v>
      </c>
      <c r="E113" s="14">
        <f>V11</f>
        <v>2743</v>
      </c>
    </row>
    <row r="114" spans="2:6" x14ac:dyDescent="0.3">
      <c r="C114" t="s">
        <v>408</v>
      </c>
      <c r="E114" s="14">
        <f>H76+W20</f>
        <v>100500</v>
      </c>
      <c r="F114" t="s">
        <v>413</v>
      </c>
    </row>
    <row r="115" spans="2:6" x14ac:dyDescent="0.3">
      <c r="E115" s="71">
        <f>E111+G111-E112-E113+E114</f>
        <v>212657</v>
      </c>
    </row>
    <row r="117" spans="2:6" x14ac:dyDescent="0.3">
      <c r="B117" t="s">
        <v>364</v>
      </c>
    </row>
    <row r="119" spans="2:6" x14ac:dyDescent="0.3">
      <c r="C119" t="s">
        <v>414</v>
      </c>
      <c r="E119" s="14">
        <f>L102</f>
        <v>37900</v>
      </c>
    </row>
    <row r="120" spans="2:6" x14ac:dyDescent="0.3">
      <c r="C120" t="s">
        <v>415</v>
      </c>
      <c r="E120" s="14">
        <f>-H97</f>
        <v>-7900</v>
      </c>
      <c r="F120" t="s">
        <v>417</v>
      </c>
    </row>
    <row r="121" spans="2:6" x14ac:dyDescent="0.3">
      <c r="C121" t="s">
        <v>416</v>
      </c>
      <c r="E121" s="14">
        <f>B101-H102</f>
        <v>200</v>
      </c>
    </row>
    <row r="122" spans="2:6" x14ac:dyDescent="0.3">
      <c r="E122" s="71">
        <f>SUM(E119:E121)</f>
        <v>30200</v>
      </c>
    </row>
  </sheetData>
  <mergeCells count="36">
    <mergeCell ref="Q15:U15"/>
    <mergeCell ref="Q4:U4"/>
    <mergeCell ref="Q5:U5"/>
    <mergeCell ref="Q6:U6"/>
    <mergeCell ref="Q7:U7"/>
    <mergeCell ref="Q8:U8"/>
    <mergeCell ref="Q9:U9"/>
    <mergeCell ref="Q32:U32"/>
    <mergeCell ref="Q34:U34"/>
    <mergeCell ref="Q22:U22"/>
    <mergeCell ref="Q23:U23"/>
    <mergeCell ref="Q24:U24"/>
    <mergeCell ref="Q25:U25"/>
    <mergeCell ref="Q26:U26"/>
    <mergeCell ref="Q27:U27"/>
    <mergeCell ref="T3:U3"/>
    <mergeCell ref="Q30:U30"/>
    <mergeCell ref="Q28:U28"/>
    <mergeCell ref="Q29:U29"/>
    <mergeCell ref="Q31:U31"/>
    <mergeCell ref="Q16:U16"/>
    <mergeCell ref="Q17:U17"/>
    <mergeCell ref="Q18:U18"/>
    <mergeCell ref="Q19:U19"/>
    <mergeCell ref="Q20:U20"/>
    <mergeCell ref="Q21:U21"/>
    <mergeCell ref="Q10:U10"/>
    <mergeCell ref="Q11:U11"/>
    <mergeCell ref="Q12:U12"/>
    <mergeCell ref="Q13:U13"/>
    <mergeCell ref="Q14:U14"/>
    <mergeCell ref="Q35:U35"/>
    <mergeCell ref="Q36:U36"/>
    <mergeCell ref="Q37:U37"/>
    <mergeCell ref="Q38:U38"/>
    <mergeCell ref="Q39:U39"/>
  </mergeCells>
  <pageMargins left="0.23622047244094488" right="0.23622047244094488" top="0.3543307086614173" bottom="0.15748031496062992" header="0.31496062992125984" footer="0.31496062992125984"/>
  <pageSetup paperSize="9" orientation="landscape"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2:N139"/>
  <sheetViews>
    <sheetView zoomScale="145" zoomScaleNormal="145" workbookViewId="0">
      <selection activeCell="B1" sqref="B1"/>
    </sheetView>
  </sheetViews>
  <sheetFormatPr baseColWidth="10" defaultColWidth="8.88671875" defaultRowHeight="14.4" x14ac:dyDescent="0.3"/>
  <cols>
    <col min="1" max="1" width="6.6640625" customWidth="1"/>
    <col min="2" max="2" width="10" customWidth="1"/>
    <col min="5" max="5" width="9.33203125" bestFit="1" customWidth="1"/>
    <col min="8" max="8" width="11.88671875" bestFit="1" customWidth="1"/>
    <col min="9" max="9" width="11.5546875" customWidth="1"/>
    <col min="10" max="10" width="9.33203125" bestFit="1" customWidth="1"/>
    <col min="13" max="13" width="9.33203125" bestFit="1" customWidth="1"/>
  </cols>
  <sheetData>
    <row r="2" spans="2:10" x14ac:dyDescent="0.3">
      <c r="B2" s="11" t="s">
        <v>475</v>
      </c>
    </row>
    <row r="3" spans="2:10" x14ac:dyDescent="0.3">
      <c r="B3" s="11"/>
    </row>
    <row r="4" spans="2:10" x14ac:dyDescent="0.3">
      <c r="B4" t="s">
        <v>137</v>
      </c>
    </row>
    <row r="6" spans="2:10" x14ac:dyDescent="0.3">
      <c r="B6" t="s">
        <v>128</v>
      </c>
    </row>
    <row r="7" spans="2:10" x14ac:dyDescent="0.3">
      <c r="B7" s="4" t="s">
        <v>129</v>
      </c>
      <c r="E7" s="14">
        <v>12000</v>
      </c>
    </row>
    <row r="8" spans="2:10" x14ac:dyDescent="0.3">
      <c r="B8" s="4" t="s">
        <v>130</v>
      </c>
      <c r="E8" s="14">
        <v>500</v>
      </c>
    </row>
    <row r="10" spans="2:10" x14ac:dyDescent="0.3">
      <c r="B10" t="s">
        <v>131</v>
      </c>
    </row>
    <row r="12" spans="2:10" x14ac:dyDescent="0.3">
      <c r="B12" s="14">
        <f>H12</f>
        <v>3000</v>
      </c>
      <c r="C12" t="s">
        <v>23</v>
      </c>
      <c r="E12" t="s">
        <v>78</v>
      </c>
      <c r="F12" t="s">
        <v>134</v>
      </c>
      <c r="H12" s="14">
        <f>3000</f>
        <v>3000</v>
      </c>
      <c r="J12" t="s">
        <v>449</v>
      </c>
    </row>
    <row r="13" spans="2:10" x14ac:dyDescent="0.3">
      <c r="B13" s="14"/>
      <c r="H13" s="14"/>
    </row>
    <row r="14" spans="2:10" x14ac:dyDescent="0.3">
      <c r="B14" s="14" t="s">
        <v>421</v>
      </c>
      <c r="H14" s="14"/>
    </row>
    <row r="15" spans="2:10" x14ac:dyDescent="0.3">
      <c r="B15" s="14"/>
      <c r="H15" s="14"/>
    </row>
    <row r="16" spans="2:10" x14ac:dyDescent="0.3">
      <c r="B16" s="14">
        <f>H16+H17+H18</f>
        <v>6950</v>
      </c>
      <c r="C16" t="s">
        <v>133</v>
      </c>
      <c r="E16" t="s">
        <v>78</v>
      </c>
      <c r="F16" t="s">
        <v>135</v>
      </c>
      <c r="H16" s="14">
        <f>H12*0.05</f>
        <v>150</v>
      </c>
    </row>
    <row r="17" spans="2:13" x14ac:dyDescent="0.3">
      <c r="B17" s="14"/>
      <c r="F17" t="s">
        <v>132</v>
      </c>
      <c r="H17" s="14">
        <f>60000*0.07</f>
        <v>4200</v>
      </c>
    </row>
    <row r="18" spans="2:13" x14ac:dyDescent="0.3">
      <c r="F18" t="s">
        <v>136</v>
      </c>
      <c r="H18" s="14">
        <f>40000*0.065</f>
        <v>2600</v>
      </c>
    </row>
    <row r="19" spans="2:13" x14ac:dyDescent="0.3">
      <c r="H19" s="14"/>
    </row>
    <row r="20" spans="2:13" x14ac:dyDescent="0.3">
      <c r="B20" s="14" t="s">
        <v>345</v>
      </c>
      <c r="H20" s="14"/>
    </row>
    <row r="21" spans="2:13" x14ac:dyDescent="0.3">
      <c r="B21" s="14"/>
      <c r="H21" s="14"/>
      <c r="I21" t="s">
        <v>450</v>
      </c>
    </row>
    <row r="22" spans="2:13" x14ac:dyDescent="0.3">
      <c r="B22" s="14">
        <f>H22</f>
        <v>40000</v>
      </c>
      <c r="C22" t="s">
        <v>172</v>
      </c>
      <c r="E22" t="s">
        <v>78</v>
      </c>
      <c r="F22" t="s">
        <v>23</v>
      </c>
      <c r="H22" s="14">
        <f>10000+12000+12000+6000</f>
        <v>40000</v>
      </c>
      <c r="I22" t="s">
        <v>344</v>
      </c>
    </row>
    <row r="23" spans="2:13" x14ac:dyDescent="0.3">
      <c r="B23" s="14"/>
      <c r="H23" s="14"/>
    </row>
    <row r="24" spans="2:13" x14ac:dyDescent="0.3">
      <c r="B24" s="14"/>
      <c r="H24" s="14"/>
    </row>
    <row r="25" spans="2:13" x14ac:dyDescent="0.3">
      <c r="B25" s="69" t="s">
        <v>138</v>
      </c>
      <c r="C25" s="69"/>
      <c r="D25" s="69"/>
      <c r="E25" s="69"/>
      <c r="F25" s="69"/>
      <c r="G25" s="69"/>
      <c r="H25" s="69"/>
    </row>
    <row r="27" spans="2:13" x14ac:dyDescent="0.3">
      <c r="B27" t="s">
        <v>139</v>
      </c>
    </row>
    <row r="29" spans="2:13" x14ac:dyDescent="0.3">
      <c r="B29" t="s">
        <v>140</v>
      </c>
      <c r="C29" s="21" t="s">
        <v>173</v>
      </c>
      <c r="D29" s="21"/>
      <c r="E29" s="21"/>
      <c r="F29" s="21"/>
      <c r="G29" s="21"/>
      <c r="H29" s="13" t="s">
        <v>101</v>
      </c>
      <c r="I29" s="14">
        <f>(10500*12+12000*9+12000*6)/12</f>
        <v>25500</v>
      </c>
      <c r="J29" t="s">
        <v>174</v>
      </c>
    </row>
    <row r="30" spans="2:13" x14ac:dyDescent="0.3">
      <c r="E30" s="13">
        <v>12</v>
      </c>
    </row>
    <row r="31" spans="2:13" x14ac:dyDescent="0.3">
      <c r="B31" t="s">
        <v>141</v>
      </c>
      <c r="M31" s="14">
        <f>I29-2000</f>
        <v>23500</v>
      </c>
    </row>
    <row r="33" spans="1:10" x14ac:dyDescent="0.3">
      <c r="B33" s="4" t="s">
        <v>142</v>
      </c>
      <c r="G33" s="14">
        <f>H16</f>
        <v>150</v>
      </c>
      <c r="H33" t="s">
        <v>143</v>
      </c>
    </row>
    <row r="34" spans="1:10" x14ac:dyDescent="0.3">
      <c r="B34" s="4" t="s">
        <v>144</v>
      </c>
      <c r="J34" s="14">
        <f>M31-H12</f>
        <v>20500</v>
      </c>
    </row>
    <row r="35" spans="1:10" x14ac:dyDescent="0.3">
      <c r="B35" t="s">
        <v>145</v>
      </c>
    </row>
    <row r="37" spans="1:10" x14ac:dyDescent="0.3">
      <c r="B37" t="s">
        <v>146</v>
      </c>
      <c r="D37" s="21" t="s">
        <v>147</v>
      </c>
      <c r="E37" s="21"/>
      <c r="F37" s="21"/>
      <c r="G37" s="13" t="s">
        <v>101</v>
      </c>
      <c r="H37" s="16">
        <f>(60000*7%+40000*6.5%)/100000</f>
        <v>6.8000000000000005E-2</v>
      </c>
    </row>
    <row r="38" spans="1:10" x14ac:dyDescent="0.3">
      <c r="E38" s="22">
        <v>100000</v>
      </c>
    </row>
    <row r="40" spans="1:10" x14ac:dyDescent="0.3">
      <c r="B40" t="s">
        <v>451</v>
      </c>
      <c r="I40" s="14">
        <f>J34*H37</f>
        <v>1394</v>
      </c>
    </row>
    <row r="42" spans="1:10" x14ac:dyDescent="0.3">
      <c r="B42" t="s">
        <v>148</v>
      </c>
      <c r="E42" s="23">
        <f>G33+I40</f>
        <v>1544</v>
      </c>
    </row>
    <row r="44" spans="1:10" x14ac:dyDescent="0.3">
      <c r="B44" s="14" t="s">
        <v>421</v>
      </c>
      <c r="H44" s="14"/>
    </row>
    <row r="45" spans="1:10" x14ac:dyDescent="0.3">
      <c r="B45" s="14"/>
      <c r="H45" s="14"/>
    </row>
    <row r="46" spans="1:10" x14ac:dyDescent="0.3">
      <c r="B46" s="14">
        <f>H46</f>
        <v>1544</v>
      </c>
      <c r="C46" t="s">
        <v>149</v>
      </c>
      <c r="E46" t="s">
        <v>78</v>
      </c>
      <c r="F46" t="s">
        <v>150</v>
      </c>
      <c r="H46" s="14">
        <f>E42</f>
        <v>1544</v>
      </c>
    </row>
    <row r="47" spans="1:10" x14ac:dyDescent="0.3">
      <c r="F47" t="s">
        <v>452</v>
      </c>
    </row>
    <row r="48" spans="1:10" ht="16.2" x14ac:dyDescent="0.35">
      <c r="A48" s="24"/>
      <c r="B48" t="s">
        <v>166</v>
      </c>
    </row>
    <row r="49" spans="1:10" ht="16.2" x14ac:dyDescent="0.35">
      <c r="A49" s="24"/>
      <c r="B49" s="26" t="s">
        <v>152</v>
      </c>
    </row>
    <row r="50" spans="1:10" ht="16.2" x14ac:dyDescent="0.35">
      <c r="A50" s="24"/>
      <c r="B50" s="26" t="s">
        <v>153</v>
      </c>
    </row>
    <row r="51" spans="1:10" ht="16.2" x14ac:dyDescent="0.35">
      <c r="A51" s="24"/>
      <c r="B51" t="s">
        <v>167</v>
      </c>
    </row>
    <row r="52" spans="1:10" ht="16.2" x14ac:dyDescent="0.35">
      <c r="A52" s="24"/>
    </row>
    <row r="53" spans="1:10" ht="16.2" x14ac:dyDescent="0.35">
      <c r="A53" s="24"/>
      <c r="B53" s="14" t="s">
        <v>154</v>
      </c>
      <c r="H53" s="14"/>
    </row>
    <row r="54" spans="1:10" ht="16.2" x14ac:dyDescent="0.35">
      <c r="A54" s="24"/>
      <c r="B54" s="14"/>
      <c r="H54" s="14"/>
    </row>
    <row r="55" spans="1:10" ht="16.2" x14ac:dyDescent="0.35">
      <c r="A55" s="24"/>
      <c r="B55" s="14">
        <f>H55</f>
        <v>48</v>
      </c>
      <c r="C55" t="s">
        <v>155</v>
      </c>
      <c r="E55" t="s">
        <v>78</v>
      </c>
      <c r="F55" t="s">
        <v>23</v>
      </c>
      <c r="H55" s="14">
        <f>240*0.2</f>
        <v>48</v>
      </c>
      <c r="J55" t="s">
        <v>156</v>
      </c>
    </row>
    <row r="56" spans="1:10" ht="16.2" x14ac:dyDescent="0.35">
      <c r="A56" s="24"/>
      <c r="B56" s="14"/>
      <c r="H56" s="14"/>
      <c r="J56" t="s">
        <v>157</v>
      </c>
    </row>
    <row r="57" spans="1:10" x14ac:dyDescent="0.3">
      <c r="B57" s="14" t="s">
        <v>154</v>
      </c>
      <c r="H57" s="14"/>
    </row>
    <row r="58" spans="1:10" x14ac:dyDescent="0.3">
      <c r="B58" s="14"/>
      <c r="H58" s="14"/>
    </row>
    <row r="59" spans="1:10" x14ac:dyDescent="0.3">
      <c r="B59" s="14">
        <f>H59</f>
        <v>530</v>
      </c>
      <c r="C59" t="s">
        <v>159</v>
      </c>
      <c r="E59" s="13" t="s">
        <v>78</v>
      </c>
      <c r="F59" t="s">
        <v>23</v>
      </c>
      <c r="H59" s="14">
        <f>530</f>
        <v>530</v>
      </c>
      <c r="J59" t="s">
        <v>347</v>
      </c>
    </row>
    <row r="60" spans="1:10" x14ac:dyDescent="0.3">
      <c r="B60" s="14"/>
      <c r="C60" t="s">
        <v>453</v>
      </c>
      <c r="H60" s="14"/>
    </row>
    <row r="61" spans="1:10" x14ac:dyDescent="0.3">
      <c r="B61" s="14"/>
      <c r="H61" s="14"/>
    </row>
    <row r="62" spans="1:10" ht="16.2" x14ac:dyDescent="0.35">
      <c r="A62" s="24"/>
      <c r="B62" t="s">
        <v>160</v>
      </c>
      <c r="G62">
        <f>100*1.02^2</f>
        <v>104.03999999999999</v>
      </c>
      <c r="H62" s="14"/>
    </row>
    <row r="63" spans="1:10" x14ac:dyDescent="0.3">
      <c r="B63" t="s">
        <v>161</v>
      </c>
      <c r="D63" s="27">
        <f>G62*(1+4%)^-2</f>
        <v>96.190828402366847</v>
      </c>
      <c r="E63" t="s">
        <v>348</v>
      </c>
    </row>
    <row r="64" spans="1:10" x14ac:dyDescent="0.3">
      <c r="B64" t="s">
        <v>162</v>
      </c>
    </row>
    <row r="65" spans="2:9" x14ac:dyDescent="0.3">
      <c r="B65" t="s">
        <v>164</v>
      </c>
    </row>
    <row r="66" spans="2:9" x14ac:dyDescent="0.3">
      <c r="B66" s="26" t="s">
        <v>163</v>
      </c>
    </row>
    <row r="67" spans="2:9" x14ac:dyDescent="0.3">
      <c r="B67" t="s">
        <v>165</v>
      </c>
    </row>
    <row r="69" spans="2:9" x14ac:dyDescent="0.3">
      <c r="B69" t="s">
        <v>168</v>
      </c>
      <c r="D69" s="16">
        <f>B59/(B59+H82)</f>
        <v>0.8833333333333333</v>
      </c>
    </row>
    <row r="70" spans="2:9" x14ac:dyDescent="0.3">
      <c r="B70" t="s">
        <v>169</v>
      </c>
      <c r="G70" s="27">
        <f>D69*D63</f>
        <v>84.968565088757373</v>
      </c>
    </row>
    <row r="71" spans="2:9" x14ac:dyDescent="0.3">
      <c r="G71" s="27"/>
    </row>
    <row r="72" spans="2:9" x14ac:dyDescent="0.3">
      <c r="B72" s="14" t="s">
        <v>154</v>
      </c>
      <c r="H72" s="14"/>
    </row>
    <row r="73" spans="2:9" x14ac:dyDescent="0.3">
      <c r="B73" s="14"/>
      <c r="H73" s="14"/>
    </row>
    <row r="74" spans="2:9" x14ac:dyDescent="0.3">
      <c r="B74" s="14">
        <f>H74</f>
        <v>84.968565088757373</v>
      </c>
      <c r="C74" t="s">
        <v>159</v>
      </c>
      <c r="E74" s="13" t="s">
        <v>78</v>
      </c>
      <c r="F74" t="s">
        <v>170</v>
      </c>
      <c r="H74" s="14">
        <f>G70</f>
        <v>84.968565088757373</v>
      </c>
    </row>
    <row r="75" spans="2:9" x14ac:dyDescent="0.3">
      <c r="C75" t="s">
        <v>454</v>
      </c>
    </row>
    <row r="76" spans="2:9" x14ac:dyDescent="0.3">
      <c r="C76" t="s">
        <v>484</v>
      </c>
    </row>
    <row r="78" spans="2:9" x14ac:dyDescent="0.3">
      <c r="B78" s="25" t="s">
        <v>151</v>
      </c>
    </row>
    <row r="80" spans="2:9" x14ac:dyDescent="0.3">
      <c r="B80" s="23" t="s">
        <v>171</v>
      </c>
      <c r="C80" s="11"/>
      <c r="D80" s="11"/>
      <c r="E80" s="11"/>
      <c r="F80" s="11"/>
      <c r="G80" s="11"/>
      <c r="H80" s="23"/>
      <c r="I80" t="s">
        <v>486</v>
      </c>
    </row>
    <row r="81" spans="2:11" x14ac:dyDescent="0.3">
      <c r="B81" s="14"/>
      <c r="H81" s="14"/>
      <c r="I81" t="s">
        <v>487</v>
      </c>
    </row>
    <row r="82" spans="2:11" x14ac:dyDescent="0.3">
      <c r="B82" s="73">
        <f>B59+H82+D63</f>
        <v>696.19082840236683</v>
      </c>
      <c r="C82" t="s">
        <v>159</v>
      </c>
      <c r="E82" t="s">
        <v>78</v>
      </c>
      <c r="F82" t="s">
        <v>23</v>
      </c>
      <c r="H82" s="14">
        <v>70</v>
      </c>
    </row>
    <row r="83" spans="2:11" x14ac:dyDescent="0.3">
      <c r="F83" t="s">
        <v>170</v>
      </c>
      <c r="H83" s="27">
        <f>D63-H74</f>
        <v>11.222263313609474</v>
      </c>
    </row>
    <row r="84" spans="2:11" x14ac:dyDescent="0.3">
      <c r="F84" t="s">
        <v>485</v>
      </c>
      <c r="H84" s="14">
        <f>B59+B74</f>
        <v>614.96856508875737</v>
      </c>
    </row>
    <row r="85" spans="2:11" x14ac:dyDescent="0.3">
      <c r="H85" s="14"/>
    </row>
    <row r="86" spans="2:11" x14ac:dyDescent="0.3">
      <c r="B86" s="23" t="s">
        <v>457</v>
      </c>
      <c r="C86" s="11"/>
      <c r="D86" s="11"/>
      <c r="E86" s="11"/>
      <c r="F86" s="11"/>
      <c r="G86" s="11"/>
      <c r="H86" s="23"/>
    </row>
    <row r="87" spans="2:11" x14ac:dyDescent="0.3">
      <c r="B87" s="23"/>
      <c r="C87" s="11"/>
      <c r="D87" s="11"/>
      <c r="E87" s="11"/>
      <c r="F87" s="11"/>
      <c r="G87" s="11"/>
      <c r="H87" s="23"/>
      <c r="J87" t="s">
        <v>455</v>
      </c>
    </row>
    <row r="88" spans="2:11" x14ac:dyDescent="0.3">
      <c r="B88" s="74">
        <f>H88+H89</f>
        <v>41444</v>
      </c>
      <c r="C88" s="11" t="s">
        <v>10</v>
      </c>
      <c r="D88" s="11"/>
      <c r="E88" s="11" t="s">
        <v>78</v>
      </c>
      <c r="F88" s="11" t="s">
        <v>172</v>
      </c>
      <c r="G88" s="11"/>
      <c r="H88" s="23">
        <f>E8+H22+E42-600</f>
        <v>41444</v>
      </c>
    </row>
    <row r="89" spans="2:11" x14ac:dyDescent="0.3">
      <c r="B89" s="11"/>
      <c r="C89" s="11"/>
      <c r="D89" s="11"/>
      <c r="E89" s="11"/>
      <c r="F89" s="54" t="s">
        <v>456</v>
      </c>
      <c r="G89" s="11"/>
      <c r="H89" s="23"/>
      <c r="J89" t="s">
        <v>175</v>
      </c>
    </row>
    <row r="90" spans="2:11" x14ac:dyDescent="0.3">
      <c r="B90" s="14" t="s">
        <v>158</v>
      </c>
      <c r="H90" s="14"/>
      <c r="K90" t="s">
        <v>346</v>
      </c>
    </row>
    <row r="91" spans="2:11" x14ac:dyDescent="0.3">
      <c r="B91" s="14"/>
      <c r="H91" s="14"/>
    </row>
    <row r="92" spans="2:11" x14ac:dyDescent="0.3">
      <c r="B92" s="14">
        <f>H92</f>
        <v>120</v>
      </c>
      <c r="C92" t="s">
        <v>155</v>
      </c>
      <c r="E92" t="s">
        <v>78</v>
      </c>
      <c r="F92" t="s">
        <v>23</v>
      </c>
      <c r="H92" s="14">
        <f>240*0.5</f>
        <v>120</v>
      </c>
    </row>
    <row r="93" spans="2:11" x14ac:dyDescent="0.3">
      <c r="B93" s="14"/>
      <c r="H93" s="14"/>
    </row>
    <row r="94" spans="2:11" x14ac:dyDescent="0.3">
      <c r="B94" s="14" t="s">
        <v>176</v>
      </c>
      <c r="H94" s="14"/>
    </row>
    <row r="95" spans="2:11" x14ac:dyDescent="0.3">
      <c r="B95" s="14"/>
      <c r="H95" s="14"/>
    </row>
    <row r="96" spans="2:11" x14ac:dyDescent="0.3">
      <c r="B96" s="14">
        <f>(H88-5410)/20*(11/12)</f>
        <v>1651.5583333333334</v>
      </c>
      <c r="C96" t="s">
        <v>177</v>
      </c>
      <c r="E96" s="13" t="s">
        <v>78</v>
      </c>
      <c r="F96" t="s">
        <v>179</v>
      </c>
      <c r="H96" s="14">
        <f>B96+B97</f>
        <v>1984.5191643083783</v>
      </c>
      <c r="J96" s="5" t="s">
        <v>420</v>
      </c>
    </row>
    <row r="97" spans="2:14" x14ac:dyDescent="0.3">
      <c r="B97" s="14">
        <f>(B82)/23*11</f>
        <v>332.96083097504498</v>
      </c>
      <c r="C97" t="s">
        <v>178</v>
      </c>
    </row>
    <row r="98" spans="2:14" x14ac:dyDescent="0.3">
      <c r="B98" s="14"/>
    </row>
    <row r="99" spans="2:14" x14ac:dyDescent="0.3">
      <c r="B99" s="14" t="s">
        <v>176</v>
      </c>
      <c r="H99" s="14"/>
    </row>
    <row r="100" spans="2:14" x14ac:dyDescent="0.3">
      <c r="B100" s="14"/>
      <c r="H100" s="14"/>
    </row>
    <row r="101" spans="2:14" x14ac:dyDescent="0.3">
      <c r="B101" s="14">
        <f>(D63)*0.04</f>
        <v>3.8476331360946738</v>
      </c>
      <c r="C101" t="s">
        <v>182</v>
      </c>
      <c r="E101" s="13" t="s">
        <v>78</v>
      </c>
      <c r="F101" t="s">
        <v>183</v>
      </c>
      <c r="H101" s="14">
        <f>B101</f>
        <v>3.8476331360946738</v>
      </c>
    </row>
    <row r="103" spans="2:14" x14ac:dyDescent="0.3">
      <c r="B103" s="14" t="s">
        <v>176</v>
      </c>
      <c r="H103" s="14"/>
      <c r="J103" t="s">
        <v>355</v>
      </c>
      <c r="L103" s="16">
        <f>5410/H88</f>
        <v>0.13053759289643857</v>
      </c>
    </row>
    <row r="104" spans="2:14" x14ac:dyDescent="0.3">
      <c r="B104" s="14"/>
      <c r="H104" s="14"/>
      <c r="J104" t="s">
        <v>356</v>
      </c>
      <c r="K104" s="50"/>
      <c r="N104" s="27">
        <f>(2000*(1-L103))/20*(11/12)</f>
        <v>79.700720651159799</v>
      </c>
    </row>
    <row r="105" spans="2:14" x14ac:dyDescent="0.3">
      <c r="B105" s="14">
        <f>H105</f>
        <v>79.700720651159799</v>
      </c>
      <c r="C105" t="s">
        <v>353</v>
      </c>
      <c r="E105" s="13" t="s">
        <v>78</v>
      </c>
      <c r="F105" t="s">
        <v>354</v>
      </c>
      <c r="H105" s="14">
        <f>N104</f>
        <v>79.700720651159799</v>
      </c>
    </row>
    <row r="106" spans="2:14" x14ac:dyDescent="0.3">
      <c r="B106" s="14"/>
      <c r="H106" s="55">
        <f>B96/B88*2000</f>
        <v>79.700720651159799</v>
      </c>
      <c r="I106" s="4" t="s">
        <v>458</v>
      </c>
      <c r="J106" t="s">
        <v>428</v>
      </c>
    </row>
    <row r="107" spans="2:14" x14ac:dyDescent="0.3">
      <c r="B107" s="14"/>
      <c r="J107" s="4" t="s">
        <v>459</v>
      </c>
    </row>
    <row r="108" spans="2:14" x14ac:dyDescent="0.3">
      <c r="B108" s="14" t="s">
        <v>176</v>
      </c>
      <c r="H108" s="14"/>
    </row>
    <row r="109" spans="2:14" x14ac:dyDescent="0.3">
      <c r="B109" s="14"/>
      <c r="H109" s="14"/>
    </row>
    <row r="110" spans="2:14" x14ac:dyDescent="0.3">
      <c r="B110" s="14">
        <v>120</v>
      </c>
      <c r="C110" t="s">
        <v>180</v>
      </c>
      <c r="E110" s="13" t="s">
        <v>78</v>
      </c>
      <c r="F110" t="s">
        <v>155</v>
      </c>
      <c r="H110" s="14">
        <v>120</v>
      </c>
      <c r="J110" t="s">
        <v>181</v>
      </c>
    </row>
    <row r="112" spans="2:14" x14ac:dyDescent="0.3">
      <c r="B112" s="14" t="s">
        <v>357</v>
      </c>
      <c r="H112" s="14"/>
    </row>
    <row r="113" spans="2:10" x14ac:dyDescent="0.3">
      <c r="B113" s="14"/>
      <c r="H113" s="14"/>
    </row>
    <row r="114" spans="2:10" x14ac:dyDescent="0.3">
      <c r="B114" s="14">
        <f>H114</f>
        <v>157.5</v>
      </c>
      <c r="C114" t="s">
        <v>133</v>
      </c>
      <c r="E114" t="s">
        <v>78</v>
      </c>
      <c r="F114" t="s">
        <v>135</v>
      </c>
      <c r="H114" s="14">
        <f>(H12+H16)*0.05</f>
        <v>157.5</v>
      </c>
    </row>
    <row r="115" spans="2:10" x14ac:dyDescent="0.3">
      <c r="B115" s="14"/>
      <c r="F115" t="s">
        <v>132</v>
      </c>
      <c r="H115" s="14">
        <f>(60000+H17)*0.07</f>
        <v>4494</v>
      </c>
    </row>
    <row r="116" spans="2:10" x14ac:dyDescent="0.3">
      <c r="F116" t="s">
        <v>136</v>
      </c>
      <c r="H116" s="14">
        <f>(40000+H18)*0.065</f>
        <v>2769</v>
      </c>
    </row>
    <row r="117" spans="2:10" x14ac:dyDescent="0.3">
      <c r="H117" s="14"/>
    </row>
    <row r="119" spans="2:10" x14ac:dyDescent="0.3">
      <c r="B119" s="25" t="s">
        <v>352</v>
      </c>
      <c r="C119" t="s">
        <v>351</v>
      </c>
    </row>
    <row r="120" spans="2:10" x14ac:dyDescent="0.3">
      <c r="B120" s="14" t="s">
        <v>184</v>
      </c>
      <c r="H120" s="14"/>
    </row>
    <row r="121" spans="2:10" x14ac:dyDescent="0.3">
      <c r="B121" s="14"/>
      <c r="H121" s="14"/>
    </row>
    <row r="122" spans="2:10" x14ac:dyDescent="0.3">
      <c r="B122" s="14">
        <v>120</v>
      </c>
      <c r="C122" t="s">
        <v>180</v>
      </c>
      <c r="E122" s="13" t="s">
        <v>78</v>
      </c>
      <c r="F122" t="s">
        <v>155</v>
      </c>
      <c r="H122" s="14">
        <f>B55+B92-H110</f>
        <v>48</v>
      </c>
    </row>
    <row r="123" spans="2:10" x14ac:dyDescent="0.3">
      <c r="F123" t="s">
        <v>349</v>
      </c>
      <c r="H123" s="14">
        <f>B122-H122</f>
        <v>72</v>
      </c>
      <c r="I123" t="s">
        <v>350</v>
      </c>
    </row>
    <row r="124" spans="2:10" x14ac:dyDescent="0.3">
      <c r="H124" s="14"/>
    </row>
    <row r="126" spans="2:10" x14ac:dyDescent="0.3">
      <c r="B126" s="14" t="s">
        <v>184</v>
      </c>
      <c r="H126" s="14"/>
    </row>
    <row r="127" spans="2:10" x14ac:dyDescent="0.3">
      <c r="B127" s="14"/>
      <c r="H127" s="14"/>
    </row>
    <row r="128" spans="2:10" x14ac:dyDescent="0.3">
      <c r="B128" s="14">
        <f>H128</f>
        <v>363.22999742732179</v>
      </c>
      <c r="C128" t="s">
        <v>178</v>
      </c>
      <c r="E128" s="13" t="s">
        <v>78</v>
      </c>
      <c r="F128" t="s">
        <v>179</v>
      </c>
      <c r="H128" s="14">
        <f>(B82)/23*12</f>
        <v>363.22999742732179</v>
      </c>
      <c r="J128" t="s">
        <v>460</v>
      </c>
    </row>
    <row r="131" spans="2:8" x14ac:dyDescent="0.3">
      <c r="B131" s="14" t="s">
        <v>184</v>
      </c>
      <c r="H131" s="14"/>
    </row>
    <row r="132" spans="2:8" x14ac:dyDescent="0.3">
      <c r="B132" s="14"/>
      <c r="H132" s="14"/>
    </row>
    <row r="133" spans="2:8" x14ac:dyDescent="0.3">
      <c r="B133" s="14">
        <f>(D63+B101)*0.04</f>
        <v>4.0015384615384608</v>
      </c>
      <c r="C133" t="s">
        <v>182</v>
      </c>
      <c r="E133" s="13" t="s">
        <v>78</v>
      </c>
      <c r="F133" t="s">
        <v>183</v>
      </c>
      <c r="H133" s="14">
        <f>B133</f>
        <v>4.0015384615384608</v>
      </c>
    </row>
    <row r="136" spans="2:8" x14ac:dyDescent="0.3">
      <c r="B136" s="14" t="s">
        <v>184</v>
      </c>
      <c r="H136" s="14"/>
    </row>
    <row r="137" spans="2:8" x14ac:dyDescent="0.3">
      <c r="B137" s="14"/>
      <c r="H137" s="14"/>
    </row>
    <row r="138" spans="2:8" x14ac:dyDescent="0.3">
      <c r="B138" s="14">
        <v>104.4</v>
      </c>
      <c r="C138" t="s">
        <v>183</v>
      </c>
      <c r="E138" s="13" t="s">
        <v>78</v>
      </c>
      <c r="F138" t="s">
        <v>23</v>
      </c>
      <c r="H138" s="14">
        <v>98</v>
      </c>
    </row>
    <row r="139" spans="2:8" x14ac:dyDescent="0.3">
      <c r="F139" t="s">
        <v>429</v>
      </c>
      <c r="H139">
        <v>6.04</v>
      </c>
    </row>
  </sheetData>
  <mergeCells count="1">
    <mergeCell ref="B25:H25"/>
  </mergeCells>
  <pageMargins left="0.23622047244094488" right="0.23622047244094488" top="0.3543307086614173" bottom="0.15748031496062992" header="0.31496062992125984" footer="0.31496062992125984"/>
  <pageSetup paperSize="9" scale="77" fitToHeight="0"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109"/>
  <sheetViews>
    <sheetView zoomScale="115" zoomScaleNormal="115" workbookViewId="0">
      <selection activeCell="B1" sqref="B1"/>
    </sheetView>
  </sheetViews>
  <sheetFormatPr baseColWidth="10" defaultColWidth="8.88671875" defaultRowHeight="14.4" x14ac:dyDescent="0.3"/>
  <cols>
    <col min="4" max="4" width="9.33203125" customWidth="1"/>
    <col min="5" max="5" width="12.6640625" customWidth="1"/>
    <col min="6" max="6" width="9.33203125" customWidth="1"/>
    <col min="12" max="12" width="11.44140625" customWidth="1"/>
    <col min="14" max="14" width="8.33203125" customWidth="1"/>
    <col min="20" max="20" width="9.77734375" customWidth="1"/>
  </cols>
  <sheetData>
    <row r="2" spans="2:19" x14ac:dyDescent="0.3">
      <c r="B2" s="11" t="s">
        <v>476</v>
      </c>
    </row>
    <row r="3" spans="2:19" x14ac:dyDescent="0.3">
      <c r="B3" s="11"/>
    </row>
    <row r="4" spans="2:19" x14ac:dyDescent="0.3">
      <c r="B4" s="69" t="s">
        <v>59</v>
      </c>
      <c r="C4" s="69"/>
      <c r="D4" s="69"/>
    </row>
    <row r="6" spans="2:19" x14ac:dyDescent="0.3">
      <c r="B6" t="s">
        <v>65</v>
      </c>
    </row>
    <row r="7" spans="2:19" x14ac:dyDescent="0.3">
      <c r="S7" t="s">
        <v>461</v>
      </c>
    </row>
    <row r="8" spans="2:19" x14ac:dyDescent="0.3">
      <c r="B8" t="s">
        <v>60</v>
      </c>
      <c r="D8" s="12">
        <v>360</v>
      </c>
      <c r="E8" t="s">
        <v>68</v>
      </c>
      <c r="H8" t="s">
        <v>64</v>
      </c>
      <c r="K8" s="15">
        <f>D8*G9*142.5%</f>
        <v>5130</v>
      </c>
      <c r="L8" t="s">
        <v>72</v>
      </c>
    </row>
    <row r="9" spans="2:19" x14ac:dyDescent="0.3">
      <c r="B9" t="s">
        <v>62</v>
      </c>
      <c r="E9" s="12">
        <v>600</v>
      </c>
      <c r="F9" t="s">
        <v>63</v>
      </c>
      <c r="G9" s="11">
        <v>10</v>
      </c>
      <c r="H9" t="s">
        <v>73</v>
      </c>
    </row>
    <row r="10" spans="2:19" x14ac:dyDescent="0.3">
      <c r="G10" s="11"/>
    </row>
    <row r="11" spans="2:19" x14ac:dyDescent="0.3">
      <c r="B11" t="s">
        <v>66</v>
      </c>
      <c r="D11" s="12">
        <v>150</v>
      </c>
      <c r="E11" t="s">
        <v>430</v>
      </c>
      <c r="G11" s="11"/>
      <c r="H11" s="15">
        <v>8000</v>
      </c>
    </row>
    <row r="12" spans="2:19" x14ac:dyDescent="0.3">
      <c r="B12" t="s">
        <v>62</v>
      </c>
      <c r="E12" s="12">
        <v>100</v>
      </c>
      <c r="F12" t="s">
        <v>63</v>
      </c>
      <c r="G12" s="11">
        <v>20</v>
      </c>
      <c r="H12" t="s">
        <v>67</v>
      </c>
    </row>
    <row r="13" spans="2:19" x14ac:dyDescent="0.3">
      <c r="E13" s="12">
        <v>400</v>
      </c>
      <c r="F13" t="s">
        <v>63</v>
      </c>
      <c r="G13" s="11">
        <v>40</v>
      </c>
      <c r="H13" t="s">
        <v>69</v>
      </c>
    </row>
    <row r="14" spans="2:19" x14ac:dyDescent="0.3">
      <c r="D14" t="s">
        <v>74</v>
      </c>
      <c r="E14" s="14">
        <f>E12*G12+E13*G13</f>
        <v>18000</v>
      </c>
    </row>
    <row r="15" spans="2:19" x14ac:dyDescent="0.3">
      <c r="D15" t="s">
        <v>75</v>
      </c>
      <c r="E15" s="16">
        <f>(D11*G13)/E14</f>
        <v>0.33333333333333331</v>
      </c>
      <c r="F15" t="s">
        <v>76</v>
      </c>
    </row>
    <row r="16" spans="2:19" x14ac:dyDescent="0.3">
      <c r="E16" s="16"/>
    </row>
    <row r="17" spans="2:21" x14ac:dyDescent="0.3">
      <c r="E17" s="16"/>
    </row>
    <row r="18" spans="2:21" x14ac:dyDescent="0.3">
      <c r="B18" s="69" t="s">
        <v>70</v>
      </c>
      <c r="C18" s="69"/>
      <c r="D18" s="69"/>
    </row>
    <row r="20" spans="2:21" x14ac:dyDescent="0.3">
      <c r="B20" t="s">
        <v>71</v>
      </c>
    </row>
    <row r="22" spans="2:21" x14ac:dyDescent="0.3">
      <c r="B22" s="14">
        <f>H22+H23-B23</f>
        <v>8960</v>
      </c>
      <c r="C22" t="s">
        <v>77</v>
      </c>
      <c r="E22" s="13" t="s">
        <v>78</v>
      </c>
      <c r="F22" t="s">
        <v>23</v>
      </c>
      <c r="H22" s="14">
        <v>8000</v>
      </c>
      <c r="J22" t="s">
        <v>79</v>
      </c>
      <c r="U22" s="14">
        <f>D11*G13*0.3</f>
        <v>1800</v>
      </c>
    </row>
    <row r="23" spans="2:21" x14ac:dyDescent="0.3">
      <c r="B23" s="14">
        <f>J24</f>
        <v>840</v>
      </c>
      <c r="C23" t="s">
        <v>82</v>
      </c>
      <c r="F23" t="s">
        <v>80</v>
      </c>
      <c r="H23" s="14">
        <f>U22</f>
        <v>1800</v>
      </c>
      <c r="J23" t="s">
        <v>422</v>
      </c>
    </row>
    <row r="24" spans="2:21" x14ac:dyDescent="0.3">
      <c r="J24" s="14">
        <f>D11*G13*0.7*0.2</f>
        <v>840</v>
      </c>
      <c r="K24" s="4" t="s">
        <v>83</v>
      </c>
      <c r="M24" t="s">
        <v>84</v>
      </c>
    </row>
    <row r="26" spans="2:21" x14ac:dyDescent="0.3">
      <c r="B26" t="s">
        <v>81</v>
      </c>
    </row>
    <row r="28" spans="2:21" x14ac:dyDescent="0.3">
      <c r="B28" s="14">
        <f>H28+H29</f>
        <v>840</v>
      </c>
      <c r="C28" t="s">
        <v>23</v>
      </c>
      <c r="E28" s="13" t="s">
        <v>78</v>
      </c>
      <c r="F28" t="s">
        <v>82</v>
      </c>
      <c r="H28" s="14">
        <f>J24</f>
        <v>840</v>
      </c>
    </row>
    <row r="31" spans="2:21" x14ac:dyDescent="0.3">
      <c r="B31" s="69" t="s">
        <v>85</v>
      </c>
      <c r="C31" s="69"/>
      <c r="D31" s="69"/>
      <c r="E31" s="69"/>
    </row>
    <row r="33" spans="1:13" x14ac:dyDescent="0.3">
      <c r="B33" t="s">
        <v>86</v>
      </c>
    </row>
    <row r="35" spans="1:13" x14ac:dyDescent="0.3">
      <c r="B35" s="56" t="s">
        <v>87</v>
      </c>
      <c r="C35" t="s">
        <v>88</v>
      </c>
    </row>
    <row r="36" spans="1:13" x14ac:dyDescent="0.3">
      <c r="B36" s="56" t="s">
        <v>89</v>
      </c>
      <c r="C36" t="s">
        <v>90</v>
      </c>
    </row>
    <row r="37" spans="1:13" x14ac:dyDescent="0.3">
      <c r="B37" s="56" t="s">
        <v>91</v>
      </c>
      <c r="C37" s="13">
        <v>18</v>
      </c>
      <c r="D37" t="s">
        <v>96</v>
      </c>
    </row>
    <row r="38" spans="1:13" x14ac:dyDescent="0.3">
      <c r="B38" s="56" t="s">
        <v>92</v>
      </c>
      <c r="C38" s="13">
        <f>15*0.9</f>
        <v>13.5</v>
      </c>
      <c r="D38" s="4" t="s">
        <v>93</v>
      </c>
    </row>
    <row r="39" spans="1:13" x14ac:dyDescent="0.3">
      <c r="B39" s="56" t="s">
        <v>94</v>
      </c>
      <c r="C39" s="13">
        <v>3</v>
      </c>
      <c r="D39" t="s">
        <v>95</v>
      </c>
    </row>
    <row r="40" spans="1:13" x14ac:dyDescent="0.3">
      <c r="J40" t="s">
        <v>465</v>
      </c>
    </row>
    <row r="41" spans="1:13" x14ac:dyDescent="0.3">
      <c r="A41" s="57" t="s">
        <v>448</v>
      </c>
      <c r="B41" s="5" t="s">
        <v>97</v>
      </c>
      <c r="D41" t="s">
        <v>98</v>
      </c>
      <c r="E41" s="17" t="s">
        <v>99</v>
      </c>
      <c r="F41" s="19" t="s">
        <v>101</v>
      </c>
      <c r="G41" s="17" t="s">
        <v>102</v>
      </c>
      <c r="H41" s="19" t="s">
        <v>103</v>
      </c>
      <c r="J41" t="s">
        <v>104</v>
      </c>
      <c r="L41" s="5">
        <v>300</v>
      </c>
      <c r="M41" t="s">
        <v>466</v>
      </c>
    </row>
    <row r="42" spans="1:13" x14ac:dyDescent="0.3">
      <c r="A42" s="57" t="s">
        <v>467</v>
      </c>
      <c r="E42" s="18" t="s">
        <v>100</v>
      </c>
      <c r="G42" s="18" t="s">
        <v>100</v>
      </c>
      <c r="J42" t="s">
        <v>468</v>
      </c>
      <c r="K42" s="5"/>
    </row>
    <row r="43" spans="1:13" x14ac:dyDescent="0.3">
      <c r="A43" s="57" t="s">
        <v>469</v>
      </c>
      <c r="F43" s="11" t="s">
        <v>470</v>
      </c>
    </row>
    <row r="44" spans="1:13" x14ac:dyDescent="0.3">
      <c r="F44" t="s">
        <v>431</v>
      </c>
      <c r="G44" s="11"/>
    </row>
    <row r="46" spans="1:13" x14ac:dyDescent="0.3">
      <c r="B46" t="s">
        <v>432</v>
      </c>
      <c r="E46" t="s">
        <v>433</v>
      </c>
    </row>
    <row r="47" spans="1:13" x14ac:dyDescent="0.3">
      <c r="B47" s="11" t="s">
        <v>471</v>
      </c>
      <c r="C47" s="11"/>
      <c r="D47" s="11"/>
      <c r="E47" s="11"/>
      <c r="F47" s="11"/>
      <c r="G47" s="11"/>
      <c r="H47" s="11"/>
      <c r="I47" s="11"/>
    </row>
    <row r="48" spans="1:13" x14ac:dyDescent="0.3">
      <c r="B48" t="s">
        <v>434</v>
      </c>
    </row>
    <row r="50" spans="2:14" x14ac:dyDescent="0.3">
      <c r="B50" t="s">
        <v>106</v>
      </c>
      <c r="H50">
        <f>200*0.2</f>
        <v>40</v>
      </c>
      <c r="I50" t="s">
        <v>61</v>
      </c>
      <c r="J50" t="s">
        <v>435</v>
      </c>
      <c r="M50" s="13">
        <f>160/4*3</f>
        <v>120</v>
      </c>
      <c r="N50" t="s">
        <v>109</v>
      </c>
    </row>
    <row r="51" spans="2:14" x14ac:dyDescent="0.3">
      <c r="B51" t="s">
        <v>110</v>
      </c>
      <c r="M51" s="13"/>
    </row>
    <row r="52" spans="2:14" x14ac:dyDescent="0.3">
      <c r="B52" t="s">
        <v>111</v>
      </c>
      <c r="F52">
        <f>5130/360</f>
        <v>14.25</v>
      </c>
      <c r="M52" s="13"/>
    </row>
    <row r="53" spans="2:14" x14ac:dyDescent="0.3">
      <c r="B53" t="s">
        <v>112</v>
      </c>
      <c r="E53">
        <f>F52*(C39/C37)</f>
        <v>2.375</v>
      </c>
      <c r="M53" s="13"/>
    </row>
    <row r="54" spans="2:14" x14ac:dyDescent="0.3">
      <c r="M54" s="13"/>
    </row>
    <row r="56" spans="2:14" x14ac:dyDescent="0.3">
      <c r="B56" t="s">
        <v>105</v>
      </c>
      <c r="I56" t="s">
        <v>108</v>
      </c>
    </row>
    <row r="58" spans="2:14" x14ac:dyDescent="0.3">
      <c r="B58" s="14">
        <f>H58+H59</f>
        <v>570</v>
      </c>
      <c r="C58" t="s">
        <v>107</v>
      </c>
      <c r="E58" s="13" t="s">
        <v>78</v>
      </c>
      <c r="F58" t="s">
        <v>114</v>
      </c>
      <c r="H58" s="14">
        <f>240*E53</f>
        <v>570</v>
      </c>
    </row>
    <row r="59" spans="2:14" x14ac:dyDescent="0.3">
      <c r="F59" t="s">
        <v>113</v>
      </c>
    </row>
    <row r="61" spans="2:14" x14ac:dyDescent="0.3">
      <c r="B61" t="s">
        <v>105</v>
      </c>
    </row>
    <row r="63" spans="2:14" x14ac:dyDescent="0.3">
      <c r="B63" s="14">
        <v>810</v>
      </c>
      <c r="C63" t="s">
        <v>23</v>
      </c>
      <c r="E63" s="13" t="s">
        <v>78</v>
      </c>
      <c r="F63" t="s">
        <v>107</v>
      </c>
      <c r="H63" s="14">
        <f>H58</f>
        <v>570</v>
      </c>
    </row>
    <row r="64" spans="2:14" x14ac:dyDescent="0.3">
      <c r="F64" t="s">
        <v>115</v>
      </c>
      <c r="H64" s="14">
        <f>B63-H63</f>
        <v>240</v>
      </c>
    </row>
    <row r="65" spans="2:9" x14ac:dyDescent="0.3">
      <c r="H65" s="14"/>
    </row>
    <row r="66" spans="2:9" x14ac:dyDescent="0.3">
      <c r="B66" t="s">
        <v>105</v>
      </c>
    </row>
    <row r="68" spans="2:9" x14ac:dyDescent="0.3">
      <c r="B68" s="14">
        <f>H50*C38</f>
        <v>540</v>
      </c>
      <c r="C68" t="s">
        <v>114</v>
      </c>
      <c r="E68" s="13" t="s">
        <v>78</v>
      </c>
      <c r="F68" t="s">
        <v>23</v>
      </c>
      <c r="H68" s="14">
        <f>B68</f>
        <v>540</v>
      </c>
      <c r="I68" s="4" t="s">
        <v>462</v>
      </c>
    </row>
    <row r="69" spans="2:9" x14ac:dyDescent="0.3">
      <c r="B69" s="14"/>
      <c r="E69" s="13"/>
      <c r="H69" s="14"/>
      <c r="I69" s="4"/>
    </row>
    <row r="70" spans="2:9" x14ac:dyDescent="0.3">
      <c r="B70" t="s">
        <v>488</v>
      </c>
      <c r="H70" s="14"/>
    </row>
    <row r="71" spans="2:9" x14ac:dyDescent="0.3">
      <c r="H71" s="14"/>
    </row>
    <row r="72" spans="2:9" x14ac:dyDescent="0.3">
      <c r="B72" s="69" t="s">
        <v>116</v>
      </c>
      <c r="C72" s="69"/>
      <c r="D72" s="69"/>
      <c r="E72" s="69"/>
    </row>
    <row r="74" spans="2:9" x14ac:dyDescent="0.3">
      <c r="B74" t="s">
        <v>117</v>
      </c>
    </row>
    <row r="76" spans="2:9" x14ac:dyDescent="0.3">
      <c r="B76" t="s">
        <v>124</v>
      </c>
    </row>
    <row r="78" spans="2:9" x14ac:dyDescent="0.3">
      <c r="B78" s="14">
        <f>H23</f>
        <v>1800</v>
      </c>
      <c r="C78" t="s">
        <v>80</v>
      </c>
      <c r="E78" s="13" t="s">
        <v>78</v>
      </c>
      <c r="F78" t="s">
        <v>118</v>
      </c>
      <c r="H78" s="14">
        <f>B78</f>
        <v>1800</v>
      </c>
    </row>
    <row r="79" spans="2:9" x14ac:dyDescent="0.3">
      <c r="B79" s="14"/>
      <c r="H79" s="14"/>
    </row>
    <row r="80" spans="2:9" x14ac:dyDescent="0.3">
      <c r="B80" t="s">
        <v>120</v>
      </c>
      <c r="G80" s="5">
        <f>G13*0.7</f>
        <v>28</v>
      </c>
    </row>
    <row r="81" spans="2:9" x14ac:dyDescent="0.3">
      <c r="B81" t="s">
        <v>121</v>
      </c>
    </row>
    <row r="82" spans="2:9" x14ac:dyDescent="0.3">
      <c r="B82" t="s">
        <v>122</v>
      </c>
    </row>
    <row r="84" spans="2:9" x14ac:dyDescent="0.3">
      <c r="B84" t="s">
        <v>119</v>
      </c>
    </row>
    <row r="86" spans="2:9" x14ac:dyDescent="0.3">
      <c r="B86" t="s">
        <v>123</v>
      </c>
      <c r="D86" s="20">
        <f>3200/40000</f>
        <v>0.08</v>
      </c>
    </row>
    <row r="88" spans="2:9" x14ac:dyDescent="0.3">
      <c r="B88" t="s">
        <v>124</v>
      </c>
    </row>
    <row r="90" spans="2:9" x14ac:dyDescent="0.3">
      <c r="B90" s="14">
        <f>D11*8</f>
        <v>1200</v>
      </c>
      <c r="C90" t="s">
        <v>23</v>
      </c>
      <c r="E90" s="13" t="s">
        <v>78</v>
      </c>
      <c r="F90" t="s">
        <v>118</v>
      </c>
      <c r="H90" s="14">
        <f>(8960-1800)*0.08</f>
        <v>572.80000000000007</v>
      </c>
      <c r="I90" s="4" t="s">
        <v>463</v>
      </c>
    </row>
    <row r="91" spans="2:9" x14ac:dyDescent="0.3">
      <c r="B91" s="14"/>
      <c r="C91" t="s">
        <v>126</v>
      </c>
      <c r="F91" t="s">
        <v>125</v>
      </c>
      <c r="H91" s="14">
        <f>B90-H90</f>
        <v>627.19999999999993</v>
      </c>
    </row>
    <row r="92" spans="2:9" x14ac:dyDescent="0.3">
      <c r="F92" t="s">
        <v>464</v>
      </c>
    </row>
    <row r="97" spans="2:12" x14ac:dyDescent="0.3">
      <c r="B97" s="58" t="s">
        <v>436</v>
      </c>
    </row>
    <row r="99" spans="2:12" x14ac:dyDescent="0.3">
      <c r="B99" t="s">
        <v>437</v>
      </c>
    </row>
    <row r="101" spans="2:12" x14ac:dyDescent="0.3">
      <c r="B101" s="4" t="s">
        <v>438</v>
      </c>
    </row>
    <row r="103" spans="2:12" x14ac:dyDescent="0.3">
      <c r="B103" s="56" t="s">
        <v>439</v>
      </c>
      <c r="C103" s="21" t="s">
        <v>441</v>
      </c>
      <c r="D103" s="21"/>
      <c r="F103" t="s">
        <v>442</v>
      </c>
    </row>
    <row r="104" spans="2:12" x14ac:dyDescent="0.3">
      <c r="C104" t="s">
        <v>440</v>
      </c>
    </row>
    <row r="105" spans="2:12" x14ac:dyDescent="0.3">
      <c r="F105" t="s">
        <v>443</v>
      </c>
      <c r="L105" t="s">
        <v>444</v>
      </c>
    </row>
    <row r="106" spans="2:12" x14ac:dyDescent="0.3">
      <c r="L106" t="s">
        <v>445</v>
      </c>
    </row>
    <row r="107" spans="2:12" x14ac:dyDescent="0.3">
      <c r="L107" t="s">
        <v>446</v>
      </c>
    </row>
    <row r="109" spans="2:12" x14ac:dyDescent="0.3">
      <c r="L109" t="s">
        <v>447</v>
      </c>
    </row>
  </sheetData>
  <mergeCells count="4">
    <mergeCell ref="B4:D4"/>
    <mergeCell ref="B18:D18"/>
    <mergeCell ref="B31:E31"/>
    <mergeCell ref="B72:E72"/>
  </mergeCells>
  <pageMargins left="0.23622047244094488" right="0.23622047244094488" top="0.3543307086614173" bottom="0.15748031496062992" header="0.31496062992125984" footer="0.31496062992125984"/>
  <pageSetup paperSize="9" scale="70" fitToHeight="0" orientation="landscape"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K192"/>
  <sheetViews>
    <sheetView zoomScale="160" zoomScaleNormal="160" workbookViewId="0"/>
  </sheetViews>
  <sheetFormatPr baseColWidth="10" defaultRowHeight="14.4" x14ac:dyDescent="0.3"/>
  <cols>
    <col min="1" max="1" width="7.77734375" style="3" customWidth="1"/>
    <col min="2" max="2" width="13.6640625" customWidth="1"/>
    <col min="3" max="3" width="16.21875" customWidth="1"/>
    <col min="5" max="5" width="13.6640625" customWidth="1"/>
    <col min="6" max="6" width="14.5546875" customWidth="1"/>
    <col min="7" max="7" width="12.44140625" customWidth="1"/>
  </cols>
  <sheetData>
    <row r="1" spans="1:11" x14ac:dyDescent="0.3">
      <c r="A1" s="60"/>
    </row>
    <row r="2" spans="1:11" x14ac:dyDescent="0.3">
      <c r="B2" s="11" t="s">
        <v>477</v>
      </c>
    </row>
    <row r="3" spans="1:11" x14ac:dyDescent="0.3">
      <c r="A3" s="59"/>
      <c r="B3" s="11"/>
    </row>
    <row r="4" spans="1:11" x14ac:dyDescent="0.3">
      <c r="B4" s="25" t="s">
        <v>250</v>
      </c>
      <c r="C4" s="58"/>
    </row>
    <row r="6" spans="1:11" x14ac:dyDescent="0.3">
      <c r="B6" t="s">
        <v>251</v>
      </c>
    </row>
    <row r="8" spans="1:11" x14ac:dyDescent="0.3">
      <c r="B8" t="s">
        <v>252</v>
      </c>
    </row>
    <row r="10" spans="1:11" x14ac:dyDescent="0.3">
      <c r="B10" s="14">
        <f>G10+H11</f>
        <v>30000</v>
      </c>
      <c r="C10" t="s">
        <v>253</v>
      </c>
      <c r="E10" s="13" t="s">
        <v>78</v>
      </c>
      <c r="F10" t="s">
        <v>254</v>
      </c>
      <c r="G10" s="14">
        <v>30000</v>
      </c>
    </row>
    <row r="11" spans="1:11" x14ac:dyDescent="0.3">
      <c r="B11" s="14"/>
      <c r="H11" s="14"/>
    </row>
    <row r="12" spans="1:11" x14ac:dyDescent="0.3">
      <c r="B12" t="s">
        <v>255</v>
      </c>
      <c r="C12" s="14">
        <f>B10</f>
        <v>30000</v>
      </c>
    </row>
    <row r="14" spans="1:11" x14ac:dyDescent="0.3">
      <c r="B14" s="70" t="s">
        <v>256</v>
      </c>
      <c r="C14" s="70"/>
      <c r="D14" s="14">
        <f>3000000</f>
        <v>3000000</v>
      </c>
    </row>
    <row r="15" spans="1:11" x14ac:dyDescent="0.3">
      <c r="B15" s="70" t="s">
        <v>257</v>
      </c>
      <c r="C15" s="70"/>
      <c r="D15" s="14">
        <f>1400000</f>
        <v>1400000</v>
      </c>
      <c r="F15" s="11" t="s">
        <v>423</v>
      </c>
      <c r="G15" s="11"/>
      <c r="H15" s="11"/>
      <c r="I15" s="11"/>
      <c r="J15" s="11"/>
      <c r="K15" s="23">
        <f>D15-1000000</f>
        <v>400000</v>
      </c>
    </row>
    <row r="16" spans="1:11" x14ac:dyDescent="0.3">
      <c r="B16" s="70" t="s">
        <v>258</v>
      </c>
      <c r="C16" s="70"/>
      <c r="D16" s="14">
        <f>1600000</f>
        <v>1600000</v>
      </c>
      <c r="E16" s="13"/>
      <c r="F16" t="s">
        <v>424</v>
      </c>
      <c r="G16" s="14">
        <f>K15*0.25</f>
        <v>100000</v>
      </c>
    </row>
    <row r="17" spans="1:9" x14ac:dyDescent="0.3">
      <c r="B17" s="14"/>
    </row>
    <row r="18" spans="1:9" x14ac:dyDescent="0.3">
      <c r="A18" s="3" t="s">
        <v>43</v>
      </c>
      <c r="B18" t="s">
        <v>267</v>
      </c>
    </row>
    <row r="20" spans="1:9" x14ac:dyDescent="0.3">
      <c r="B20" s="14">
        <f>G20</f>
        <v>250000</v>
      </c>
      <c r="C20" t="s">
        <v>261</v>
      </c>
      <c r="D20" s="13" t="s">
        <v>78</v>
      </c>
      <c r="E20" t="s">
        <v>260</v>
      </c>
      <c r="G20" s="14">
        <f>250000</f>
        <v>250000</v>
      </c>
    </row>
    <row r="21" spans="1:9" x14ac:dyDescent="0.3">
      <c r="B21" s="14"/>
    </row>
    <row r="22" spans="1:9" x14ac:dyDescent="0.3">
      <c r="B22" t="s">
        <v>262</v>
      </c>
    </row>
    <row r="23" spans="1:9" x14ac:dyDescent="0.3">
      <c r="B23" t="s">
        <v>263</v>
      </c>
    </row>
    <row r="24" spans="1:9" x14ac:dyDescent="0.3">
      <c r="B24" s="4" t="s">
        <v>264</v>
      </c>
      <c r="I24" s="46">
        <f>50000</f>
        <v>50000</v>
      </c>
    </row>
    <row r="25" spans="1:9" x14ac:dyDescent="0.3">
      <c r="B25" s="4" t="s">
        <v>265</v>
      </c>
    </row>
    <row r="27" spans="1:9" x14ac:dyDescent="0.3">
      <c r="B27" t="s">
        <v>267</v>
      </c>
    </row>
    <row r="29" spans="1:9" x14ac:dyDescent="0.3">
      <c r="B29" s="14">
        <f>I24*0.25</f>
        <v>12500</v>
      </c>
      <c r="C29">
        <v>6301</v>
      </c>
      <c r="D29" s="13" t="s">
        <v>78</v>
      </c>
      <c r="E29">
        <v>479</v>
      </c>
      <c r="G29" s="14">
        <f>B29</f>
        <v>12500</v>
      </c>
    </row>
    <row r="32" spans="1:9" x14ac:dyDescent="0.3">
      <c r="B32" t="s">
        <v>266</v>
      </c>
    </row>
    <row r="34" spans="1:7" x14ac:dyDescent="0.3">
      <c r="B34" s="14">
        <f>G34</f>
        <v>31250</v>
      </c>
      <c r="C34" t="s">
        <v>268</v>
      </c>
      <c r="D34" s="13" t="s">
        <v>78</v>
      </c>
      <c r="E34" t="s">
        <v>179</v>
      </c>
      <c r="G34" s="14">
        <f>G20/6*(3/4)</f>
        <v>31250</v>
      </c>
    </row>
    <row r="35" spans="1:7" x14ac:dyDescent="0.3">
      <c r="B35" s="14"/>
    </row>
    <row r="37" spans="1:7" x14ac:dyDescent="0.3">
      <c r="B37" t="s">
        <v>259</v>
      </c>
    </row>
    <row r="39" spans="1:7" x14ac:dyDescent="0.3">
      <c r="B39" s="14">
        <f>G39</f>
        <v>1562.5</v>
      </c>
      <c r="C39">
        <f>E29</f>
        <v>479</v>
      </c>
      <c r="D39" s="13" t="s">
        <v>78</v>
      </c>
      <c r="E39">
        <f>C29</f>
        <v>6301</v>
      </c>
      <c r="G39" s="14">
        <f>G29/6*(3/4)</f>
        <v>1562.5</v>
      </c>
    </row>
    <row r="40" spans="1:7" x14ac:dyDescent="0.3">
      <c r="B40" s="14"/>
    </row>
    <row r="41" spans="1:7" x14ac:dyDescent="0.3">
      <c r="B41" t="s">
        <v>269</v>
      </c>
    </row>
    <row r="42" spans="1:7" x14ac:dyDescent="0.3">
      <c r="B42" t="s">
        <v>310</v>
      </c>
      <c r="F42" s="46">
        <f>I24/6*(3/4)</f>
        <v>6250</v>
      </c>
    </row>
    <row r="45" spans="1:7" x14ac:dyDescent="0.3">
      <c r="A45" s="3" t="s">
        <v>27</v>
      </c>
      <c r="B45" t="s">
        <v>252</v>
      </c>
      <c r="G45" s="5"/>
    </row>
    <row r="46" spans="1:7" x14ac:dyDescent="0.3">
      <c r="G46" s="5"/>
    </row>
    <row r="47" spans="1:7" x14ac:dyDescent="0.3">
      <c r="B47" s="14">
        <f>G47</f>
        <v>150</v>
      </c>
      <c r="C47" t="s">
        <v>270</v>
      </c>
      <c r="D47" s="13" t="s">
        <v>78</v>
      </c>
      <c r="E47" t="s">
        <v>271</v>
      </c>
      <c r="G47" s="46">
        <v>150</v>
      </c>
    </row>
    <row r="48" spans="1:7" x14ac:dyDescent="0.3">
      <c r="B48" s="14"/>
      <c r="G48" s="5"/>
    </row>
    <row r="49" spans="1:7" x14ac:dyDescent="0.3">
      <c r="B49" t="s">
        <v>252</v>
      </c>
      <c r="G49" s="5"/>
    </row>
    <row r="50" spans="1:7" x14ac:dyDescent="0.3">
      <c r="G50" s="5"/>
    </row>
    <row r="51" spans="1:7" x14ac:dyDescent="0.3">
      <c r="B51" s="14">
        <f>G51</f>
        <v>1600</v>
      </c>
      <c r="C51" t="s">
        <v>272</v>
      </c>
      <c r="D51" s="13" t="s">
        <v>78</v>
      </c>
      <c r="E51" t="s">
        <v>271</v>
      </c>
      <c r="G51" s="46">
        <v>1600</v>
      </c>
    </row>
    <row r="52" spans="1:7" x14ac:dyDescent="0.3">
      <c r="G52" s="5"/>
    </row>
    <row r="53" spans="1:7" x14ac:dyDescent="0.3">
      <c r="B53" t="s">
        <v>252</v>
      </c>
      <c r="G53" s="5"/>
    </row>
    <row r="54" spans="1:7" x14ac:dyDescent="0.3">
      <c r="G54" s="5"/>
    </row>
    <row r="55" spans="1:7" x14ac:dyDescent="0.3">
      <c r="B55" s="14">
        <f>G55</f>
        <v>1500</v>
      </c>
      <c r="C55" t="s">
        <v>270</v>
      </c>
      <c r="D55" s="13" t="s">
        <v>78</v>
      </c>
      <c r="E55" t="s">
        <v>271</v>
      </c>
      <c r="G55" s="46">
        <v>1500</v>
      </c>
    </row>
    <row r="56" spans="1:7" x14ac:dyDescent="0.3">
      <c r="G56" s="5"/>
    </row>
    <row r="57" spans="1:7" x14ac:dyDescent="0.3">
      <c r="B57" t="s">
        <v>273</v>
      </c>
    </row>
    <row r="58" spans="1:7" x14ac:dyDescent="0.3">
      <c r="B58" s="3" t="s">
        <v>274</v>
      </c>
      <c r="C58" s="46">
        <f>G47+G55</f>
        <v>1650</v>
      </c>
    </row>
    <row r="59" spans="1:7" x14ac:dyDescent="0.3">
      <c r="B59" s="3"/>
      <c r="C59" s="46"/>
    </row>
    <row r="61" spans="1:7" x14ac:dyDescent="0.3">
      <c r="A61" s="3" t="s">
        <v>275</v>
      </c>
      <c r="B61" t="s">
        <v>276</v>
      </c>
      <c r="G61" s="5"/>
    </row>
    <row r="62" spans="1:7" x14ac:dyDescent="0.3">
      <c r="G62" s="5"/>
    </row>
    <row r="63" spans="1:7" x14ac:dyDescent="0.3">
      <c r="B63" s="14">
        <f>G63</f>
        <v>420000</v>
      </c>
      <c r="C63" t="s">
        <v>277</v>
      </c>
      <c r="D63" s="13" t="s">
        <v>78</v>
      </c>
      <c r="E63" t="s">
        <v>278</v>
      </c>
      <c r="G63" s="46">
        <v>420000</v>
      </c>
    </row>
    <row r="64" spans="1:7" x14ac:dyDescent="0.3">
      <c r="G64" s="5"/>
    </row>
    <row r="65" spans="1:7" x14ac:dyDescent="0.3">
      <c r="B65" t="s">
        <v>266</v>
      </c>
      <c r="G65" s="5"/>
    </row>
    <row r="66" spans="1:7" x14ac:dyDescent="0.3">
      <c r="G66" s="5"/>
    </row>
    <row r="67" spans="1:7" x14ac:dyDescent="0.3">
      <c r="B67" s="14">
        <f>G67</f>
        <v>21000</v>
      </c>
      <c r="C67" t="s">
        <v>279</v>
      </c>
      <c r="D67" s="13" t="s">
        <v>78</v>
      </c>
      <c r="E67" t="s">
        <v>280</v>
      </c>
      <c r="G67" s="46">
        <f>G63/10*(6/12)</f>
        <v>21000</v>
      </c>
    </row>
    <row r="68" spans="1:7" x14ac:dyDescent="0.3">
      <c r="G68" s="5"/>
    </row>
    <row r="69" spans="1:7" x14ac:dyDescent="0.3">
      <c r="B69" t="s">
        <v>281</v>
      </c>
      <c r="G69" s="46">
        <f>G67/2</f>
        <v>10500</v>
      </c>
    </row>
    <row r="70" spans="1:7" x14ac:dyDescent="0.3">
      <c r="B70" t="s">
        <v>282</v>
      </c>
    </row>
    <row r="72" spans="1:7" x14ac:dyDescent="0.3">
      <c r="B72" t="s">
        <v>266</v>
      </c>
      <c r="G72" s="5"/>
    </row>
    <row r="73" spans="1:7" x14ac:dyDescent="0.3">
      <c r="G73" s="5"/>
    </row>
    <row r="74" spans="1:7" x14ac:dyDescent="0.3">
      <c r="B74" s="14">
        <f>G74</f>
        <v>2625</v>
      </c>
      <c r="C74">
        <v>4740</v>
      </c>
      <c r="D74" s="13" t="s">
        <v>78</v>
      </c>
      <c r="E74">
        <v>6301</v>
      </c>
      <c r="G74" s="46">
        <f>G69*0.25</f>
        <v>2625</v>
      </c>
    </row>
    <row r="77" spans="1:7" x14ac:dyDescent="0.3">
      <c r="A77" s="3" t="s">
        <v>283</v>
      </c>
      <c r="B77" t="s">
        <v>266</v>
      </c>
    </row>
    <row r="79" spans="1:7" x14ac:dyDescent="0.3">
      <c r="B79" s="14">
        <f>G79</f>
        <v>250000</v>
      </c>
      <c r="C79" t="s">
        <v>268</v>
      </c>
      <c r="D79" s="13" t="s">
        <v>78</v>
      </c>
      <c r="E79" t="s">
        <v>179</v>
      </c>
      <c r="G79" s="14">
        <f>2000000/8</f>
        <v>250000</v>
      </c>
    </row>
    <row r="80" spans="1:7" x14ac:dyDescent="0.3">
      <c r="B80" s="14"/>
    </row>
    <row r="81" spans="1:7" x14ac:dyDescent="0.3">
      <c r="B81" t="s">
        <v>266</v>
      </c>
    </row>
    <row r="83" spans="1:7" x14ac:dyDescent="0.3">
      <c r="B83" s="14">
        <f>G83</f>
        <v>62500</v>
      </c>
      <c r="C83">
        <v>479</v>
      </c>
      <c r="D83" s="13" t="s">
        <v>78</v>
      </c>
      <c r="E83">
        <v>6301</v>
      </c>
      <c r="G83" s="14">
        <f>G79*0.25</f>
        <v>62500</v>
      </c>
    </row>
    <row r="84" spans="1:7" x14ac:dyDescent="0.3">
      <c r="B84" s="14"/>
    </row>
    <row r="85" spans="1:7" x14ac:dyDescent="0.3">
      <c r="B85" s="3" t="s">
        <v>285</v>
      </c>
      <c r="C85" s="14">
        <f>2000000/8</f>
        <v>250000</v>
      </c>
    </row>
    <row r="86" spans="1:7" x14ac:dyDescent="0.3">
      <c r="B86" s="3"/>
      <c r="C86" s="14"/>
    </row>
    <row r="87" spans="1:7" x14ac:dyDescent="0.3">
      <c r="B87" s="3"/>
      <c r="C87" s="14"/>
    </row>
    <row r="88" spans="1:7" x14ac:dyDescent="0.3">
      <c r="A88" s="3" t="s">
        <v>284</v>
      </c>
      <c r="B88" s="3" t="s">
        <v>286</v>
      </c>
      <c r="C88" s="46">
        <v>700000</v>
      </c>
    </row>
    <row r="89" spans="1:7" x14ac:dyDescent="0.3">
      <c r="B89" s="3" t="s">
        <v>287</v>
      </c>
      <c r="C89" s="46">
        <v>25000</v>
      </c>
    </row>
    <row r="90" spans="1:7" x14ac:dyDescent="0.3">
      <c r="B90" s="3"/>
      <c r="C90" s="46"/>
    </row>
    <row r="91" spans="1:7" x14ac:dyDescent="0.3">
      <c r="B91" s="3" t="s">
        <v>288</v>
      </c>
      <c r="C91" s="46">
        <v>36000</v>
      </c>
    </row>
    <row r="92" spans="1:7" x14ac:dyDescent="0.3">
      <c r="B92" s="3" t="s">
        <v>289</v>
      </c>
      <c r="C92" s="46"/>
    </row>
    <row r="93" spans="1:7" x14ac:dyDescent="0.3">
      <c r="B93" s="3" t="s">
        <v>290</v>
      </c>
      <c r="C93" s="46">
        <v>1500000</v>
      </c>
    </row>
    <row r="95" spans="1:7" x14ac:dyDescent="0.3">
      <c r="B95" s="3" t="s">
        <v>291</v>
      </c>
    </row>
    <row r="97" spans="1:8" x14ac:dyDescent="0.3">
      <c r="B97" s="14" t="s">
        <v>292</v>
      </c>
      <c r="C97" s="14">
        <f>D16</f>
        <v>1600000</v>
      </c>
      <c r="D97" s="14"/>
      <c r="E97" s="14"/>
      <c r="F97" s="14"/>
      <c r="G97" s="14"/>
      <c r="H97" s="14"/>
    </row>
    <row r="98" spans="1:8" x14ac:dyDescent="0.3">
      <c r="A98" s="51"/>
      <c r="B98" s="14" t="s">
        <v>293</v>
      </c>
      <c r="C98" s="14">
        <f>K15</f>
        <v>400000</v>
      </c>
      <c r="D98" s="14" t="s">
        <v>425</v>
      </c>
      <c r="E98" s="14"/>
      <c r="F98" s="14"/>
      <c r="G98" s="14"/>
      <c r="H98" s="14"/>
    </row>
    <row r="99" spans="1:8" x14ac:dyDescent="0.3">
      <c r="C99" s="14">
        <f>C12</f>
        <v>30000</v>
      </c>
      <c r="D99" s="14" t="s">
        <v>309</v>
      </c>
      <c r="E99" s="14"/>
      <c r="F99" s="14"/>
      <c r="G99" s="14"/>
      <c r="H99" s="14"/>
    </row>
    <row r="100" spans="1:8" x14ac:dyDescent="0.3">
      <c r="B100" s="14"/>
      <c r="C100" s="14">
        <f>I24-F42</f>
        <v>43750</v>
      </c>
      <c r="D100" s="14" t="s">
        <v>311</v>
      </c>
      <c r="E100" s="14"/>
      <c r="F100" s="14"/>
      <c r="G100" s="14"/>
      <c r="H100" s="14"/>
    </row>
    <row r="101" spans="1:8" x14ac:dyDescent="0.3">
      <c r="B101" s="14"/>
      <c r="C101" s="14">
        <f>C58</f>
        <v>1650</v>
      </c>
      <c r="D101" s="14" t="s">
        <v>312</v>
      </c>
      <c r="E101" s="14"/>
      <c r="F101" s="14"/>
      <c r="G101" s="14"/>
      <c r="H101" s="14"/>
    </row>
    <row r="102" spans="1:8" x14ac:dyDescent="0.3">
      <c r="B102" s="14"/>
      <c r="C102" s="14">
        <f>G69</f>
        <v>10500</v>
      </c>
      <c r="D102" s="14" t="s">
        <v>313</v>
      </c>
      <c r="E102" s="14"/>
      <c r="F102" s="14"/>
      <c r="G102" s="14"/>
      <c r="H102" s="14"/>
    </row>
    <row r="103" spans="1:8" x14ac:dyDescent="0.3">
      <c r="B103" s="14"/>
      <c r="C103" s="14">
        <f>C85</f>
        <v>250000</v>
      </c>
      <c r="D103" s="14" t="s">
        <v>314</v>
      </c>
      <c r="E103" s="14"/>
      <c r="F103" s="14"/>
      <c r="G103" s="14"/>
      <c r="H103" s="14"/>
    </row>
    <row r="104" spans="1:8" x14ac:dyDescent="0.3">
      <c r="B104" s="14"/>
      <c r="D104" s="14"/>
      <c r="E104" s="14"/>
      <c r="F104" s="14"/>
      <c r="G104" s="14"/>
      <c r="H104" s="14"/>
    </row>
    <row r="105" spans="1:8" x14ac:dyDescent="0.3">
      <c r="B105" s="14" t="s">
        <v>294</v>
      </c>
      <c r="C105" s="14">
        <f>SUM(C97:C103)</f>
        <v>2335900</v>
      </c>
      <c r="D105" s="14"/>
      <c r="E105" s="14"/>
      <c r="F105" s="14"/>
      <c r="G105" s="14"/>
      <c r="H105" s="14"/>
    </row>
    <row r="106" spans="1:8" x14ac:dyDescent="0.3">
      <c r="B106" s="14" t="s">
        <v>295</v>
      </c>
      <c r="C106" s="14">
        <f>C88</f>
        <v>700000</v>
      </c>
      <c r="D106" s="14" t="s">
        <v>315</v>
      </c>
      <c r="E106" s="14"/>
      <c r="F106" s="14">
        <f>C105*0.7</f>
        <v>1635130</v>
      </c>
      <c r="G106" s="14" t="s">
        <v>316</v>
      </c>
      <c r="H106" s="14"/>
    </row>
    <row r="107" spans="1:8" x14ac:dyDescent="0.3">
      <c r="B107" s="14" t="s">
        <v>296</v>
      </c>
      <c r="C107" s="14">
        <f>C105-C106</f>
        <v>1635900</v>
      </c>
      <c r="D107" s="14"/>
      <c r="E107" s="14"/>
      <c r="F107" s="14"/>
      <c r="G107" s="14"/>
      <c r="H107" s="14"/>
    </row>
    <row r="108" spans="1:8" x14ac:dyDescent="0.3">
      <c r="B108" s="14" t="s">
        <v>297</v>
      </c>
      <c r="C108" s="14">
        <f>C107*0.25</f>
        <v>408975</v>
      </c>
      <c r="D108" s="14"/>
      <c r="E108" s="14"/>
      <c r="F108" s="14"/>
      <c r="G108" s="14"/>
      <c r="H108" s="14"/>
    </row>
    <row r="109" spans="1:8" x14ac:dyDescent="0.3">
      <c r="B109" s="14" t="s">
        <v>298</v>
      </c>
      <c r="C109" s="14">
        <f>C89+C91/2</f>
        <v>43000</v>
      </c>
      <c r="D109" s="14" t="s">
        <v>317</v>
      </c>
      <c r="E109" s="14"/>
      <c r="F109" s="14"/>
      <c r="G109" s="14">
        <f>C108*0.25</f>
        <v>102243.75</v>
      </c>
      <c r="H109" s="14" t="s">
        <v>316</v>
      </c>
    </row>
    <row r="110" spans="1:8" x14ac:dyDescent="0.3">
      <c r="B110" s="14" t="s">
        <v>299</v>
      </c>
      <c r="C110" s="14">
        <f>C108-C109</f>
        <v>365975</v>
      </c>
      <c r="D110" s="14"/>
      <c r="E110" s="14"/>
      <c r="F110" s="14"/>
      <c r="G110" s="14"/>
      <c r="H110" s="14"/>
    </row>
    <row r="111" spans="1:8" x14ac:dyDescent="0.3">
      <c r="B111" s="14" t="s">
        <v>300</v>
      </c>
      <c r="C111" s="14">
        <f>C93</f>
        <v>1500000</v>
      </c>
      <c r="D111" s="14"/>
      <c r="E111" s="14"/>
      <c r="F111" s="14"/>
      <c r="G111" s="14"/>
      <c r="H111" s="14"/>
    </row>
    <row r="112" spans="1:8" x14ac:dyDescent="0.3">
      <c r="B112" s="14" t="s">
        <v>301</v>
      </c>
      <c r="C112" s="14">
        <f>C110-C111</f>
        <v>-1134025</v>
      </c>
      <c r="D112" s="14"/>
      <c r="E112" s="14"/>
      <c r="F112" s="14"/>
      <c r="G112" s="14"/>
      <c r="H112" s="14"/>
    </row>
    <row r="113" spans="2:8" x14ac:dyDescent="0.3">
      <c r="B113" s="14"/>
      <c r="C113" s="14"/>
      <c r="D113" s="14"/>
      <c r="E113" s="14"/>
      <c r="F113" s="14"/>
      <c r="G113" s="14"/>
      <c r="H113" s="14"/>
    </row>
    <row r="114" spans="2:8" x14ac:dyDescent="0.3">
      <c r="B114" s="47" t="s">
        <v>302</v>
      </c>
      <c r="C114" s="14"/>
      <c r="D114" s="44" t="s">
        <v>303</v>
      </c>
      <c r="E114" s="47" t="s">
        <v>302</v>
      </c>
      <c r="F114" s="14"/>
      <c r="G114" s="14"/>
    </row>
    <row r="115" spans="2:8" x14ac:dyDescent="0.3">
      <c r="B115" s="14"/>
      <c r="C115" s="14"/>
      <c r="D115" s="14"/>
      <c r="E115" s="14"/>
      <c r="F115" s="14"/>
      <c r="G115" s="14"/>
    </row>
    <row r="116" spans="2:8" x14ac:dyDescent="0.3">
      <c r="B116" s="14">
        <f>G116</f>
        <v>175000</v>
      </c>
      <c r="C116" s="14" t="s">
        <v>304</v>
      </c>
      <c r="D116" s="14"/>
      <c r="E116" s="14" t="s">
        <v>305</v>
      </c>
      <c r="F116" s="14"/>
      <c r="G116" s="14">
        <f>C106*0.25</f>
        <v>175000</v>
      </c>
    </row>
    <row r="117" spans="2:8" x14ac:dyDescent="0.3">
      <c r="B117" s="14"/>
      <c r="C117" s="14"/>
      <c r="D117" s="14"/>
      <c r="E117" s="14"/>
      <c r="F117" s="14"/>
      <c r="G117" s="14"/>
    </row>
    <row r="118" spans="2:8" x14ac:dyDescent="0.3">
      <c r="B118" s="47" t="s">
        <v>302</v>
      </c>
      <c r="C118" s="14"/>
      <c r="D118" s="44" t="s">
        <v>303</v>
      </c>
      <c r="E118" s="47" t="s">
        <v>302</v>
      </c>
      <c r="F118" s="14"/>
      <c r="G118" s="14"/>
    </row>
    <row r="119" spans="2:8" x14ac:dyDescent="0.3">
      <c r="B119" s="14"/>
      <c r="C119" s="14"/>
      <c r="D119" s="14"/>
      <c r="E119" s="14"/>
      <c r="F119" s="14"/>
      <c r="G119" s="14"/>
    </row>
    <row r="120" spans="2:8" x14ac:dyDescent="0.3">
      <c r="B120" s="14">
        <f>G120</f>
        <v>25000</v>
      </c>
      <c r="C120" s="14" t="s">
        <v>304</v>
      </c>
      <c r="D120" s="14"/>
      <c r="E120" s="14" t="s">
        <v>306</v>
      </c>
      <c r="F120" s="14"/>
      <c r="G120" s="14">
        <f>C89</f>
        <v>25000</v>
      </c>
    </row>
    <row r="121" spans="2:8" x14ac:dyDescent="0.3">
      <c r="B121" s="14">
        <f>G121</f>
        <v>18000</v>
      </c>
      <c r="C121" s="14" t="str">
        <f>E120</f>
        <v>Deducciones pendientes</v>
      </c>
      <c r="D121" s="14"/>
      <c r="E121" s="14" t="str">
        <f>C120</f>
        <v>Cuenta 6301</v>
      </c>
      <c r="F121" s="14"/>
      <c r="G121" s="14">
        <f>C91/2</f>
        <v>18000</v>
      </c>
    </row>
    <row r="122" spans="2:8" x14ac:dyDescent="0.3">
      <c r="B122" s="14"/>
      <c r="C122" s="14"/>
      <c r="D122" s="14"/>
      <c r="E122" s="14"/>
      <c r="F122" s="14"/>
      <c r="G122" s="14"/>
    </row>
    <row r="123" spans="2:8" x14ac:dyDescent="0.3">
      <c r="B123" s="47" t="s">
        <v>302</v>
      </c>
      <c r="C123" s="14"/>
      <c r="D123" s="44" t="s">
        <v>303</v>
      </c>
      <c r="E123" s="47" t="s">
        <v>302</v>
      </c>
      <c r="F123" s="14"/>
      <c r="G123" s="14"/>
    </row>
    <row r="124" spans="2:8" x14ac:dyDescent="0.3">
      <c r="B124" s="14"/>
      <c r="C124" s="14"/>
      <c r="D124" s="14"/>
      <c r="E124" s="14"/>
      <c r="F124" s="14"/>
      <c r="G124" s="14"/>
    </row>
    <row r="125" spans="2:8" x14ac:dyDescent="0.3">
      <c r="B125" s="14">
        <f>C110</f>
        <v>365975</v>
      </c>
      <c r="C125" s="14" t="s">
        <v>307</v>
      </c>
      <c r="D125" s="14"/>
      <c r="E125" s="47" t="s">
        <v>308</v>
      </c>
      <c r="F125" s="14"/>
      <c r="G125" s="14">
        <f>C93</f>
        <v>1500000</v>
      </c>
    </row>
    <row r="126" spans="2:8" x14ac:dyDescent="0.3">
      <c r="B126" s="47">
        <f>G125-B125</f>
        <v>1134025</v>
      </c>
      <c r="C126" s="14" t="s">
        <v>318</v>
      </c>
      <c r="D126" s="44"/>
      <c r="F126" s="14"/>
      <c r="G126" s="14"/>
    </row>
    <row r="129" spans="2:6" x14ac:dyDescent="0.3">
      <c r="B129" s="25" t="s">
        <v>319</v>
      </c>
    </row>
    <row r="131" spans="2:6" x14ac:dyDescent="0.3">
      <c r="B131" s="3" t="s">
        <v>320</v>
      </c>
      <c r="C131" s="7">
        <v>0.45</v>
      </c>
    </row>
    <row r="133" spans="2:6" x14ac:dyDescent="0.3">
      <c r="B133" s="47" t="s">
        <v>302</v>
      </c>
      <c r="C133" s="14"/>
      <c r="D133" s="44" t="s">
        <v>330</v>
      </c>
      <c r="E133" s="47" t="s">
        <v>302</v>
      </c>
      <c r="F133" s="14"/>
    </row>
    <row r="134" spans="2:6" x14ac:dyDescent="0.3">
      <c r="B134" s="14"/>
      <c r="C134" s="14"/>
      <c r="D134" s="14"/>
      <c r="E134" s="14"/>
      <c r="F134" s="14"/>
    </row>
    <row r="135" spans="2:6" x14ac:dyDescent="0.3">
      <c r="B135" s="14">
        <f>300000*2*(1+0.21*0.55)</f>
        <v>669300</v>
      </c>
      <c r="C135" s="14" t="s">
        <v>10</v>
      </c>
      <c r="D135" s="14"/>
      <c r="E135" s="47" t="s">
        <v>23</v>
      </c>
      <c r="F135" s="14">
        <f>B135+B136</f>
        <v>726000</v>
      </c>
    </row>
    <row r="136" spans="2:6" x14ac:dyDescent="0.3">
      <c r="B136" s="14">
        <f>300000*2*0.21*0.45</f>
        <v>56700</v>
      </c>
      <c r="C136" t="s">
        <v>321</v>
      </c>
    </row>
    <row r="138" spans="2:6" x14ac:dyDescent="0.3">
      <c r="B138" s="47" t="s">
        <v>302</v>
      </c>
      <c r="C138" s="14"/>
      <c r="D138" s="44" t="s">
        <v>330</v>
      </c>
      <c r="E138" s="47" t="s">
        <v>302</v>
      </c>
      <c r="F138" s="14"/>
    </row>
    <row r="139" spans="2:6" x14ac:dyDescent="0.3">
      <c r="B139" s="14"/>
      <c r="C139" s="14"/>
      <c r="D139" s="14"/>
      <c r="E139" s="14"/>
      <c r="F139" s="14"/>
    </row>
    <row r="140" spans="2:6" x14ac:dyDescent="0.3">
      <c r="B140" s="14">
        <f>F140+F141</f>
        <v>2541000</v>
      </c>
      <c r="C140" s="14" t="s">
        <v>1</v>
      </c>
      <c r="D140" s="14"/>
      <c r="E140" s="47" t="s">
        <v>322</v>
      </c>
      <c r="F140" s="14">
        <v>2100000</v>
      </c>
    </row>
    <row r="141" spans="2:6" x14ac:dyDescent="0.3">
      <c r="B141" s="14"/>
      <c r="E141" t="s">
        <v>323</v>
      </c>
      <c r="F141" s="14">
        <f>F140*0.21</f>
        <v>441000</v>
      </c>
    </row>
    <row r="143" spans="2:6" x14ac:dyDescent="0.3">
      <c r="B143" s="47" t="s">
        <v>302</v>
      </c>
      <c r="C143" s="14"/>
      <c r="D143" s="44" t="s">
        <v>330</v>
      </c>
      <c r="E143" s="47" t="s">
        <v>302</v>
      </c>
      <c r="F143" s="14"/>
    </row>
    <row r="144" spans="2:6" x14ac:dyDescent="0.3">
      <c r="B144" s="14"/>
      <c r="C144" s="14"/>
      <c r="D144" s="14"/>
      <c r="E144" s="14"/>
      <c r="F144" s="14"/>
    </row>
    <row r="145" spans="2:7" x14ac:dyDescent="0.3">
      <c r="B145" s="14">
        <f>F145+F146</f>
        <v>1400000</v>
      </c>
      <c r="C145" s="14" t="s">
        <v>1</v>
      </c>
      <c r="D145" s="14"/>
      <c r="E145" s="47" t="s">
        <v>331</v>
      </c>
      <c r="F145" s="14">
        <v>1400000</v>
      </c>
    </row>
    <row r="146" spans="2:7" x14ac:dyDescent="0.3">
      <c r="B146" s="14"/>
      <c r="F146" s="14"/>
    </row>
    <row r="148" spans="2:7" x14ac:dyDescent="0.3">
      <c r="B148" s="47" t="s">
        <v>302</v>
      </c>
      <c r="C148" s="14"/>
      <c r="D148" s="44" t="s">
        <v>330</v>
      </c>
      <c r="E148" s="47" t="s">
        <v>302</v>
      </c>
      <c r="F148" s="14"/>
    </row>
    <row r="149" spans="2:7" x14ac:dyDescent="0.3">
      <c r="B149" s="14"/>
      <c r="C149" s="14"/>
      <c r="D149" s="14"/>
      <c r="E149" s="14"/>
      <c r="F149" s="14"/>
    </row>
    <row r="150" spans="2:7" x14ac:dyDescent="0.3">
      <c r="B150" s="14">
        <f>1500000*(1+0.21*0.55)</f>
        <v>1673250</v>
      </c>
      <c r="C150" s="14" t="s">
        <v>324</v>
      </c>
      <c r="D150" s="14"/>
      <c r="E150" s="47" t="s">
        <v>278</v>
      </c>
      <c r="F150" s="14">
        <f>B150+B151</f>
        <v>1815000</v>
      </c>
    </row>
    <row r="151" spans="2:7" x14ac:dyDescent="0.3">
      <c r="B151" s="14">
        <f>1500000*0.21*0.45</f>
        <v>141750</v>
      </c>
      <c r="C151" t="s">
        <v>321</v>
      </c>
    </row>
    <row r="153" spans="2:7" x14ac:dyDescent="0.3">
      <c r="B153" s="47" t="s">
        <v>302</v>
      </c>
      <c r="C153" s="14"/>
      <c r="D153" s="44" t="s">
        <v>330</v>
      </c>
      <c r="E153" s="47" t="s">
        <v>302</v>
      </c>
      <c r="F153" s="14"/>
    </row>
    <row r="154" spans="2:7" x14ac:dyDescent="0.3">
      <c r="B154" s="14"/>
      <c r="C154" s="14"/>
      <c r="D154" s="14"/>
      <c r="E154" s="14"/>
      <c r="F154" s="14"/>
      <c r="G154" t="s">
        <v>325</v>
      </c>
    </row>
    <row r="155" spans="2:7" x14ac:dyDescent="0.3">
      <c r="B155" s="14">
        <v>500000</v>
      </c>
      <c r="C155" s="14" t="s">
        <v>23</v>
      </c>
      <c r="D155" s="14"/>
      <c r="E155" s="47" t="s">
        <v>10</v>
      </c>
      <c r="F155" s="44">
        <f>B155+B156</f>
        <v>500000</v>
      </c>
      <c r="G155" t="s">
        <v>326</v>
      </c>
    </row>
    <row r="156" spans="2:7" x14ac:dyDescent="0.3">
      <c r="B156" s="14"/>
      <c r="G156" t="s">
        <v>328</v>
      </c>
    </row>
    <row r="157" spans="2:7" x14ac:dyDescent="0.3">
      <c r="G157" t="s">
        <v>489</v>
      </c>
    </row>
    <row r="158" spans="2:7" x14ac:dyDescent="0.3">
      <c r="B158" s="47" t="s">
        <v>302</v>
      </c>
      <c r="C158" s="14"/>
      <c r="D158" s="44" t="s">
        <v>330</v>
      </c>
      <c r="E158" s="47" t="s">
        <v>302</v>
      </c>
      <c r="F158" s="14"/>
    </row>
    <row r="159" spans="2:7" x14ac:dyDescent="0.3">
      <c r="B159" s="14"/>
      <c r="C159" s="14"/>
      <c r="D159" s="14"/>
      <c r="E159" s="14"/>
      <c r="F159" s="14"/>
    </row>
    <row r="160" spans="2:7" x14ac:dyDescent="0.3">
      <c r="B160" s="14" t="s">
        <v>327</v>
      </c>
      <c r="C160" s="48">
        <f>F140/(F140+F145)</f>
        <v>0.6</v>
      </c>
      <c r="D160" s="14" t="s">
        <v>329</v>
      </c>
      <c r="E160" s="47"/>
      <c r="F160" s="14">
        <f>(600000+1500000)*0.21*0.15</f>
        <v>66150</v>
      </c>
      <c r="G160" t="s">
        <v>490</v>
      </c>
    </row>
    <row r="162" spans="2:7" x14ac:dyDescent="0.3">
      <c r="B162" s="47" t="s">
        <v>302</v>
      </c>
      <c r="C162" s="14"/>
      <c r="D162" s="44" t="s">
        <v>332</v>
      </c>
      <c r="E162" s="47" t="s">
        <v>302</v>
      </c>
      <c r="F162" s="14"/>
    </row>
    <row r="163" spans="2:7" x14ac:dyDescent="0.3">
      <c r="B163" s="14"/>
      <c r="C163" s="14"/>
      <c r="D163" s="14"/>
      <c r="E163" s="14"/>
      <c r="F163" s="14"/>
    </row>
    <row r="164" spans="2:7" x14ac:dyDescent="0.3">
      <c r="B164" s="14" t="s">
        <v>333</v>
      </c>
      <c r="C164" s="14"/>
      <c r="D164" s="14"/>
      <c r="E164" s="47"/>
      <c r="F164" s="14"/>
    </row>
    <row r="165" spans="2:7" x14ac:dyDescent="0.3">
      <c r="B165" s="14" t="s">
        <v>334</v>
      </c>
      <c r="E165" s="4"/>
    </row>
    <row r="166" spans="2:7" x14ac:dyDescent="0.3">
      <c r="B166" s="14"/>
      <c r="E166" s="4"/>
    </row>
    <row r="167" spans="2:7" x14ac:dyDescent="0.3">
      <c r="B167" s="47" t="s">
        <v>302</v>
      </c>
      <c r="C167" s="14"/>
      <c r="D167" s="44" t="s">
        <v>335</v>
      </c>
      <c r="E167" s="47" t="s">
        <v>302</v>
      </c>
      <c r="F167" s="14"/>
    </row>
    <row r="168" spans="2:7" x14ac:dyDescent="0.3">
      <c r="B168" s="14"/>
      <c r="C168" s="14"/>
      <c r="D168" s="14"/>
      <c r="E168" s="14"/>
      <c r="F168" s="14"/>
    </row>
    <row r="169" spans="2:7" x14ac:dyDescent="0.3">
      <c r="B169" s="14">
        <v>450000</v>
      </c>
      <c r="C169" s="14" t="s">
        <v>23</v>
      </c>
      <c r="D169" s="14"/>
      <c r="E169" s="47" t="s">
        <v>10</v>
      </c>
      <c r="F169" s="14">
        <f>300000*(1+0.21*0.55)</f>
        <v>334650</v>
      </c>
      <c r="G169" t="s">
        <v>336</v>
      </c>
    </row>
    <row r="170" spans="2:7" x14ac:dyDescent="0.3">
      <c r="E170" t="s">
        <v>338</v>
      </c>
      <c r="F170" s="14">
        <f>B169-F169</f>
        <v>115350</v>
      </c>
      <c r="G170" t="s">
        <v>337</v>
      </c>
    </row>
    <row r="172" spans="2:7" x14ac:dyDescent="0.3">
      <c r="B172" s="47" t="s">
        <v>302</v>
      </c>
      <c r="C172" s="14"/>
      <c r="D172" s="44" t="s">
        <v>335</v>
      </c>
      <c r="E172" s="47" t="s">
        <v>302</v>
      </c>
      <c r="F172" s="14"/>
    </row>
    <row r="173" spans="2:7" x14ac:dyDescent="0.3">
      <c r="B173" s="14"/>
      <c r="C173" s="14"/>
      <c r="D173" s="14"/>
      <c r="E173" s="14"/>
      <c r="F173" s="14"/>
    </row>
    <row r="174" spans="2:7" x14ac:dyDescent="0.3">
      <c r="B174" s="14">
        <f>400000</f>
        <v>400000</v>
      </c>
      <c r="C174" s="14" t="s">
        <v>23</v>
      </c>
      <c r="D174" s="14"/>
      <c r="E174" s="47" t="s">
        <v>10</v>
      </c>
      <c r="F174" s="14">
        <f>F169</f>
        <v>334650</v>
      </c>
      <c r="G174" t="s">
        <v>339</v>
      </c>
    </row>
    <row r="175" spans="2:7" x14ac:dyDescent="0.3">
      <c r="B175" s="14"/>
      <c r="E175" s="52" t="s">
        <v>323</v>
      </c>
      <c r="F175" s="53">
        <f>400000*0.21</f>
        <v>84000</v>
      </c>
      <c r="G175" t="s">
        <v>418</v>
      </c>
    </row>
    <row r="176" spans="2:7" x14ac:dyDescent="0.3">
      <c r="E176" t="s">
        <v>338</v>
      </c>
      <c r="F176" s="14">
        <f>B174-F174</f>
        <v>65350</v>
      </c>
    </row>
    <row r="177" spans="1:8" x14ac:dyDescent="0.3">
      <c r="F177" s="14"/>
    </row>
    <row r="178" spans="1:8" x14ac:dyDescent="0.3">
      <c r="B178" s="47" t="s">
        <v>302</v>
      </c>
      <c r="C178" s="14"/>
      <c r="D178" s="44" t="s">
        <v>335</v>
      </c>
      <c r="E178" s="47" t="s">
        <v>302</v>
      </c>
      <c r="F178" s="14"/>
    </row>
    <row r="179" spans="1:8" x14ac:dyDescent="0.3">
      <c r="B179" s="14"/>
      <c r="C179" s="14"/>
      <c r="D179" s="14"/>
      <c r="E179" s="14"/>
      <c r="F179" s="14"/>
    </row>
    <row r="180" spans="1:8" x14ac:dyDescent="0.3">
      <c r="B180" s="14" t="s">
        <v>340</v>
      </c>
      <c r="C180" s="14"/>
      <c r="D180" s="14"/>
      <c r="E180" s="47"/>
      <c r="F180" s="14"/>
    </row>
    <row r="181" spans="1:8" x14ac:dyDescent="0.3">
      <c r="B181" s="14"/>
    </row>
    <row r="182" spans="1:8" x14ac:dyDescent="0.3">
      <c r="B182" t="s">
        <v>341</v>
      </c>
    </row>
    <row r="183" spans="1:8" x14ac:dyDescent="0.3">
      <c r="B183" t="s">
        <v>342</v>
      </c>
    </row>
    <row r="184" spans="1:8" x14ac:dyDescent="0.3">
      <c r="A184" s="60"/>
    </row>
    <row r="186" spans="1:8" x14ac:dyDescent="0.3">
      <c r="B186" s="14">
        <f>((300000*0.21*(1-0.6))/10)*8</f>
        <v>20160</v>
      </c>
      <c r="C186" s="11" t="s">
        <v>321</v>
      </c>
      <c r="E186" t="s">
        <v>78</v>
      </c>
      <c r="F186" s="11" t="s">
        <v>321</v>
      </c>
      <c r="H186" s="46">
        <f>-((300000*0.21*(0-0.6))/10)*8</f>
        <v>30240</v>
      </c>
    </row>
    <row r="187" spans="1:8" x14ac:dyDescent="0.3">
      <c r="B187" s="49" t="s">
        <v>426</v>
      </c>
      <c r="C187" s="21"/>
      <c r="D187" s="5">
        <v>8</v>
      </c>
      <c r="F187" s="49" t="s">
        <v>427</v>
      </c>
      <c r="G187" s="21"/>
      <c r="H187" s="5">
        <v>8</v>
      </c>
    </row>
    <row r="188" spans="1:8" x14ac:dyDescent="0.3">
      <c r="C188" s="5">
        <v>10</v>
      </c>
      <c r="G188" s="5">
        <v>10</v>
      </c>
    </row>
    <row r="190" spans="1:8" x14ac:dyDescent="0.3">
      <c r="B190" s="14">
        <f>H186-B186</f>
        <v>10080</v>
      </c>
      <c r="C190" s="11" t="s">
        <v>343</v>
      </c>
    </row>
    <row r="192" spans="1:8" x14ac:dyDescent="0.3">
      <c r="B192" t="s">
        <v>491</v>
      </c>
    </row>
  </sheetData>
  <mergeCells count="3">
    <mergeCell ref="B14:C14"/>
    <mergeCell ref="B15:C15"/>
    <mergeCell ref="B16:C16"/>
  </mergeCells>
  <pageMargins left="0.23622047244094488" right="0.23622047244094488" top="0.3543307086614173" bottom="0.15748031496062992" header="0.31496062992125984" footer="0.31496062992125984"/>
  <pageSetup paperSize="9" scale="96" fitToHeight="0" orientation="landscape"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outlinePr summaryBelow="0" summaryRight="0"/>
    <pageSetUpPr fitToPage="1"/>
  </sheetPr>
  <dimension ref="A2:Z1007"/>
  <sheetViews>
    <sheetView zoomScale="130" zoomScaleNormal="130" workbookViewId="0"/>
  </sheetViews>
  <sheetFormatPr baseColWidth="10" defaultColWidth="14.44140625" defaultRowHeight="15.75" customHeight="1" x14ac:dyDescent="0.25"/>
  <cols>
    <col min="1" max="1" width="8.6640625" style="29" customWidth="1"/>
    <col min="2" max="2" width="20.44140625" style="29" customWidth="1"/>
    <col min="3" max="3" width="21.109375" style="29" customWidth="1"/>
    <col min="4" max="4" width="18.21875" style="29" customWidth="1"/>
    <col min="5" max="16384" width="14.44140625" style="29"/>
  </cols>
  <sheetData>
    <row r="2" spans="1:26" ht="15.6" x14ac:dyDescent="0.3">
      <c r="A2" s="28"/>
      <c r="B2" s="61" t="s">
        <v>478</v>
      </c>
      <c r="C2" s="28"/>
      <c r="D2" s="28"/>
      <c r="E2" s="28"/>
      <c r="F2" s="28"/>
      <c r="G2" s="28"/>
      <c r="H2" s="28"/>
      <c r="I2" s="28"/>
      <c r="J2" s="28"/>
      <c r="K2" s="28"/>
      <c r="L2" s="28"/>
      <c r="M2" s="28"/>
      <c r="N2" s="28"/>
      <c r="O2" s="28"/>
      <c r="P2" s="28"/>
      <c r="Q2" s="28"/>
      <c r="R2" s="28"/>
      <c r="S2" s="28"/>
      <c r="T2" s="28"/>
      <c r="U2" s="28"/>
      <c r="V2" s="28"/>
      <c r="W2" s="28"/>
      <c r="X2" s="28"/>
      <c r="Y2" s="28"/>
      <c r="Z2" s="28"/>
    </row>
    <row r="3" spans="1:26" ht="15.6" x14ac:dyDescent="0.3">
      <c r="A3" s="28"/>
      <c r="B3" s="61"/>
      <c r="C3" s="28"/>
      <c r="D3" s="28"/>
      <c r="E3" s="28"/>
      <c r="F3" s="28"/>
      <c r="G3" s="28"/>
      <c r="H3" s="28"/>
      <c r="I3" s="28"/>
      <c r="J3" s="28"/>
      <c r="K3" s="28"/>
      <c r="L3" s="28"/>
      <c r="M3" s="28"/>
      <c r="N3" s="28"/>
      <c r="O3" s="28"/>
      <c r="P3" s="28"/>
      <c r="Q3" s="28"/>
      <c r="R3" s="28"/>
      <c r="S3" s="28"/>
      <c r="T3" s="28"/>
      <c r="U3" s="28"/>
      <c r="V3" s="28"/>
      <c r="W3" s="28"/>
      <c r="X3" s="28"/>
      <c r="Y3" s="28"/>
      <c r="Z3" s="28"/>
    </row>
    <row r="4" spans="1:26" ht="15.75" customHeight="1" x14ac:dyDescent="0.3">
      <c r="A4" s="28"/>
      <c r="B4" s="30" t="s">
        <v>185</v>
      </c>
      <c r="C4" s="28"/>
      <c r="D4" s="28"/>
      <c r="E4" s="28"/>
      <c r="F4" s="28"/>
      <c r="G4" s="28"/>
      <c r="H4" s="28"/>
      <c r="I4" s="28"/>
      <c r="J4" s="28"/>
      <c r="K4" s="28"/>
      <c r="L4" s="28"/>
      <c r="M4" s="28"/>
      <c r="N4" s="28"/>
      <c r="O4" s="28"/>
      <c r="P4" s="28"/>
      <c r="Q4" s="28"/>
      <c r="R4" s="28"/>
      <c r="S4" s="28"/>
      <c r="T4" s="28"/>
      <c r="U4" s="28"/>
      <c r="V4" s="28"/>
      <c r="W4" s="28"/>
      <c r="X4" s="28"/>
      <c r="Y4" s="28"/>
      <c r="Z4" s="28"/>
    </row>
    <row r="5" spans="1:26" ht="15" x14ac:dyDescent="0.25">
      <c r="A5" s="28"/>
      <c r="B5" s="28"/>
      <c r="C5" s="28"/>
      <c r="D5" s="28"/>
      <c r="E5" s="28"/>
      <c r="F5" s="28"/>
      <c r="G5" s="28"/>
      <c r="H5" s="28"/>
      <c r="I5" s="28"/>
      <c r="J5" s="28"/>
      <c r="K5" s="28"/>
      <c r="L5" s="28"/>
      <c r="M5" s="28"/>
      <c r="N5" s="28"/>
      <c r="O5" s="28"/>
      <c r="P5" s="28"/>
      <c r="Q5" s="28"/>
      <c r="R5" s="28"/>
      <c r="S5" s="28"/>
      <c r="T5" s="28"/>
      <c r="U5" s="28"/>
      <c r="V5" s="28"/>
      <c r="W5" s="28"/>
      <c r="X5" s="28"/>
      <c r="Y5" s="28"/>
      <c r="Z5" s="28"/>
    </row>
    <row r="6" spans="1:26" ht="15" x14ac:dyDescent="0.25">
      <c r="A6" s="28"/>
      <c r="B6" s="31" t="s">
        <v>186</v>
      </c>
      <c r="C6" s="32">
        <v>110000000</v>
      </c>
      <c r="D6" s="28"/>
      <c r="E6" s="28"/>
      <c r="F6" s="28"/>
      <c r="G6" s="28"/>
      <c r="H6" s="28"/>
      <c r="I6" s="28"/>
      <c r="J6" s="28"/>
      <c r="K6" s="28"/>
      <c r="L6" s="28"/>
      <c r="M6" s="28"/>
      <c r="N6" s="28"/>
      <c r="O6" s="28"/>
      <c r="P6" s="28"/>
      <c r="Q6" s="28"/>
      <c r="R6" s="28"/>
      <c r="S6" s="28"/>
      <c r="T6" s="28"/>
      <c r="U6" s="28"/>
      <c r="V6" s="28"/>
      <c r="W6" s="28"/>
      <c r="X6" s="28"/>
      <c r="Y6" s="28"/>
      <c r="Z6" s="28"/>
    </row>
    <row r="7" spans="1:26" ht="15" x14ac:dyDescent="0.25">
      <c r="A7" s="28"/>
      <c r="B7" s="31" t="s">
        <v>187</v>
      </c>
      <c r="C7" s="32">
        <v>25000000</v>
      </c>
      <c r="D7" s="31" t="s">
        <v>188</v>
      </c>
      <c r="E7" s="33" t="s">
        <v>189</v>
      </c>
      <c r="F7" s="34">
        <v>0.08</v>
      </c>
      <c r="G7" s="28"/>
      <c r="H7" s="28"/>
      <c r="I7" s="28"/>
      <c r="J7" s="28"/>
      <c r="K7" s="28"/>
      <c r="L7" s="28"/>
      <c r="M7" s="28"/>
      <c r="N7" s="28"/>
      <c r="O7" s="28"/>
      <c r="P7" s="28"/>
      <c r="Q7" s="28"/>
      <c r="R7" s="28"/>
      <c r="S7" s="28"/>
      <c r="T7" s="28"/>
      <c r="U7" s="28"/>
      <c r="V7" s="28"/>
      <c r="W7" s="28"/>
      <c r="X7" s="28"/>
      <c r="Y7" s="28"/>
      <c r="Z7" s="28"/>
    </row>
    <row r="8" spans="1:26" ht="15" x14ac:dyDescent="0.25">
      <c r="A8" s="28"/>
      <c r="B8" s="31" t="s">
        <v>190</v>
      </c>
      <c r="C8" s="32">
        <v>20000000</v>
      </c>
      <c r="D8" s="31" t="s">
        <v>191</v>
      </c>
      <c r="E8" s="28"/>
      <c r="F8" s="28"/>
      <c r="G8" s="28"/>
      <c r="H8" s="28"/>
      <c r="I8" s="28"/>
      <c r="J8" s="28"/>
      <c r="K8" s="28"/>
      <c r="L8" s="28"/>
      <c r="M8" s="28"/>
      <c r="N8" s="28"/>
      <c r="O8" s="28"/>
      <c r="P8" s="28"/>
      <c r="Q8" s="28"/>
      <c r="R8" s="28"/>
      <c r="S8" s="28"/>
      <c r="T8" s="28"/>
      <c r="U8" s="28"/>
      <c r="V8" s="28"/>
      <c r="W8" s="28"/>
      <c r="X8" s="28"/>
      <c r="Y8" s="28"/>
      <c r="Z8" s="28"/>
    </row>
    <row r="9" spans="1:26" ht="15" x14ac:dyDescent="0.25">
      <c r="A9" s="28"/>
      <c r="B9" s="28"/>
      <c r="C9" s="28"/>
      <c r="D9" s="28"/>
      <c r="E9" s="28"/>
      <c r="F9" s="28"/>
      <c r="G9" s="28"/>
      <c r="H9" s="28"/>
      <c r="I9" s="28"/>
      <c r="J9" s="28"/>
      <c r="K9" s="28"/>
      <c r="L9" s="28"/>
      <c r="M9" s="28"/>
      <c r="N9" s="28"/>
      <c r="O9" s="28"/>
      <c r="P9" s="28"/>
      <c r="Q9" s="28"/>
      <c r="R9" s="28"/>
      <c r="S9" s="28"/>
      <c r="T9" s="28"/>
      <c r="U9" s="28"/>
      <c r="V9" s="28"/>
      <c r="W9" s="28"/>
      <c r="X9" s="28"/>
      <c r="Y9" s="28"/>
      <c r="Z9" s="28"/>
    </row>
    <row r="10" spans="1:26" ht="15" x14ac:dyDescent="0.25">
      <c r="A10" s="28"/>
      <c r="B10" s="28"/>
      <c r="C10" s="28"/>
      <c r="D10" s="28"/>
      <c r="E10" s="28"/>
      <c r="F10" s="28"/>
      <c r="G10" s="28"/>
      <c r="H10" s="28"/>
      <c r="I10" s="28"/>
      <c r="J10" s="28"/>
      <c r="K10" s="28"/>
      <c r="L10" s="28"/>
      <c r="M10" s="28"/>
      <c r="N10" s="28"/>
      <c r="O10" s="28"/>
      <c r="P10" s="28"/>
      <c r="Q10" s="28"/>
      <c r="R10" s="28"/>
      <c r="S10" s="28"/>
      <c r="T10" s="28"/>
      <c r="U10" s="28"/>
      <c r="V10" s="28"/>
      <c r="W10" s="28"/>
      <c r="X10" s="28"/>
      <c r="Y10" s="28"/>
      <c r="Z10" s="28"/>
    </row>
    <row r="11" spans="1:26" ht="15" x14ac:dyDescent="0.25">
      <c r="A11" s="28"/>
      <c r="B11" s="31" t="s">
        <v>225</v>
      </c>
      <c r="C11" s="28"/>
      <c r="D11" s="28"/>
      <c r="E11" s="28"/>
      <c r="F11" s="28"/>
      <c r="G11" s="28"/>
      <c r="H11" s="28"/>
      <c r="I11" s="28"/>
      <c r="J11" s="28"/>
      <c r="K11" s="28"/>
      <c r="L11" s="28"/>
      <c r="M11" s="28"/>
      <c r="N11" s="28"/>
      <c r="O11" s="28"/>
      <c r="P11" s="28"/>
      <c r="Q11" s="28"/>
      <c r="R11" s="28"/>
      <c r="S11" s="28"/>
      <c r="T11" s="28"/>
      <c r="U11" s="28"/>
      <c r="V11" s="28"/>
      <c r="W11" s="28"/>
      <c r="X11" s="28"/>
      <c r="Y11" s="28"/>
      <c r="Z11" s="28"/>
    </row>
    <row r="12" spans="1:26" ht="15" x14ac:dyDescent="0.25">
      <c r="A12" s="28"/>
      <c r="B12" s="31"/>
      <c r="C12" s="28"/>
      <c r="D12" s="28"/>
      <c r="E12" s="28"/>
      <c r="F12" s="28"/>
      <c r="G12" s="28"/>
      <c r="H12" s="28"/>
      <c r="I12" s="28"/>
      <c r="J12" s="28"/>
      <c r="K12" s="28"/>
      <c r="L12" s="28"/>
      <c r="M12" s="28"/>
      <c r="N12" s="28"/>
      <c r="O12" s="28"/>
      <c r="P12" s="28"/>
      <c r="Q12" s="28"/>
      <c r="R12" s="28"/>
      <c r="S12" s="28"/>
      <c r="T12" s="28"/>
      <c r="U12" s="28"/>
      <c r="V12" s="28"/>
      <c r="W12" s="28"/>
      <c r="X12" s="28"/>
      <c r="Y12" s="28"/>
      <c r="Z12" s="28"/>
    </row>
    <row r="13" spans="1:26" ht="15.75" customHeight="1" x14ac:dyDescent="0.3">
      <c r="A13" s="28"/>
      <c r="B13" s="30" t="s">
        <v>192</v>
      </c>
      <c r="C13" s="28"/>
      <c r="D13" s="28"/>
      <c r="E13" s="28"/>
      <c r="F13" s="28"/>
      <c r="G13" s="28"/>
      <c r="H13" s="28"/>
      <c r="I13" s="28"/>
      <c r="J13" s="28"/>
      <c r="K13" s="28"/>
      <c r="L13" s="28"/>
      <c r="M13" s="28"/>
      <c r="N13" s="28"/>
      <c r="O13" s="28"/>
      <c r="P13" s="28"/>
      <c r="Q13" s="28"/>
      <c r="R13" s="28"/>
      <c r="S13" s="28"/>
      <c r="T13" s="28"/>
      <c r="U13" s="28"/>
      <c r="V13" s="28"/>
      <c r="W13" s="28"/>
      <c r="X13" s="28"/>
      <c r="Y13" s="28"/>
      <c r="Z13" s="28"/>
    </row>
    <row r="14" spans="1:26" ht="15" x14ac:dyDescent="0.25">
      <c r="A14" s="28"/>
      <c r="B14" s="33" t="s">
        <v>87</v>
      </c>
      <c r="C14" s="35">
        <v>4500</v>
      </c>
      <c r="D14" s="28"/>
      <c r="E14" s="28"/>
      <c r="F14" s="28"/>
      <c r="G14" s="28"/>
      <c r="H14" s="28"/>
      <c r="I14" s="28"/>
      <c r="J14" s="28"/>
      <c r="K14" s="28"/>
      <c r="L14" s="28"/>
      <c r="M14" s="28"/>
      <c r="N14" s="28"/>
      <c r="O14" s="28"/>
      <c r="P14" s="28"/>
      <c r="Q14" s="28"/>
      <c r="R14" s="28"/>
      <c r="S14" s="28"/>
      <c r="T14" s="28"/>
      <c r="U14" s="28"/>
      <c r="V14" s="28"/>
      <c r="W14" s="28"/>
      <c r="X14" s="28"/>
      <c r="Y14" s="28"/>
      <c r="Z14" s="28"/>
    </row>
    <row r="15" spans="1:26" ht="15" x14ac:dyDescent="0.25">
      <c r="A15" s="28"/>
      <c r="B15" s="33" t="s">
        <v>91</v>
      </c>
      <c r="C15" s="35">
        <v>10000</v>
      </c>
      <c r="D15" s="28"/>
      <c r="E15" s="28"/>
      <c r="F15" s="28"/>
      <c r="G15" s="28"/>
      <c r="H15" s="28"/>
      <c r="I15" s="28"/>
      <c r="J15" s="28"/>
      <c r="K15" s="28"/>
      <c r="L15" s="28"/>
      <c r="M15" s="28"/>
      <c r="N15" s="28"/>
      <c r="O15" s="28"/>
      <c r="P15" s="28"/>
      <c r="Q15" s="28"/>
      <c r="R15" s="28"/>
      <c r="S15" s="28"/>
      <c r="T15" s="28"/>
      <c r="U15" s="28"/>
      <c r="V15" s="28"/>
      <c r="W15" s="28"/>
      <c r="X15" s="28"/>
      <c r="Y15" s="28"/>
      <c r="Z15" s="28"/>
    </row>
    <row r="16" spans="1:26" ht="15" x14ac:dyDescent="0.25">
      <c r="A16" s="28"/>
      <c r="B16" s="33" t="s">
        <v>193</v>
      </c>
      <c r="C16" s="39">
        <v>0.95</v>
      </c>
      <c r="D16" s="28"/>
      <c r="E16" s="28"/>
      <c r="F16" s="28"/>
      <c r="G16" s="28"/>
      <c r="H16" s="28"/>
      <c r="I16" s="28"/>
      <c r="J16" s="28"/>
      <c r="K16" s="28"/>
      <c r="L16" s="28"/>
      <c r="M16" s="28"/>
      <c r="N16" s="28"/>
      <c r="O16" s="28"/>
      <c r="P16" s="28"/>
      <c r="Q16" s="28"/>
      <c r="R16" s="28"/>
      <c r="S16" s="28"/>
      <c r="T16" s="28"/>
      <c r="U16" s="28"/>
      <c r="V16" s="28"/>
      <c r="W16" s="28"/>
      <c r="X16" s="28"/>
      <c r="Y16" s="28"/>
      <c r="Z16" s="28"/>
    </row>
    <row r="17" spans="1:26" ht="15" x14ac:dyDescent="0.25">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row>
    <row r="18" spans="1:26" ht="15" x14ac:dyDescent="0.25">
      <c r="A18" s="28"/>
      <c r="B18" s="33" t="s">
        <v>194</v>
      </c>
      <c r="C18" s="36">
        <f>C14*C15*C16</f>
        <v>42750000</v>
      </c>
      <c r="D18" s="28"/>
      <c r="E18" s="28"/>
      <c r="F18" s="28"/>
      <c r="G18" s="28"/>
      <c r="H18" s="28"/>
      <c r="I18" s="28"/>
      <c r="J18" s="28"/>
      <c r="K18" s="28"/>
      <c r="L18" s="28"/>
      <c r="M18" s="28"/>
      <c r="N18" s="28"/>
      <c r="O18" s="28"/>
      <c r="P18" s="28"/>
      <c r="Q18" s="28"/>
      <c r="R18" s="28"/>
      <c r="S18" s="28"/>
      <c r="T18" s="28"/>
      <c r="U18" s="28"/>
      <c r="V18" s="28"/>
      <c r="W18" s="28"/>
      <c r="X18" s="28"/>
      <c r="Y18" s="28"/>
      <c r="Z18" s="28"/>
    </row>
    <row r="19" spans="1:26" ht="15" x14ac:dyDescent="0.25">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spans="1:26" ht="15.75" customHeight="1" x14ac:dyDescent="0.3">
      <c r="A20" s="28"/>
      <c r="B20" s="30" t="s">
        <v>195</v>
      </c>
      <c r="C20" s="28"/>
      <c r="D20" s="31">
        <v>50000000</v>
      </c>
      <c r="E20" s="31" t="s">
        <v>196</v>
      </c>
      <c r="F20" s="28"/>
      <c r="G20" s="28"/>
      <c r="H20" s="28"/>
      <c r="I20" s="28"/>
      <c r="J20" s="28"/>
      <c r="K20" s="28"/>
      <c r="L20" s="28"/>
      <c r="M20" s="28"/>
      <c r="N20" s="28"/>
      <c r="O20" s="28"/>
      <c r="P20" s="28"/>
      <c r="Q20" s="28"/>
      <c r="R20" s="28"/>
      <c r="S20" s="28"/>
      <c r="T20" s="28"/>
      <c r="U20" s="28"/>
      <c r="V20" s="28"/>
      <c r="W20" s="28"/>
      <c r="X20" s="28"/>
      <c r="Y20" s="28"/>
      <c r="Z20" s="28"/>
    </row>
    <row r="21" spans="1:26" ht="15" x14ac:dyDescent="0.25">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spans="1:26" ht="15" x14ac:dyDescent="0.25">
      <c r="A22" s="28"/>
      <c r="B22" s="31" t="s">
        <v>226</v>
      </c>
      <c r="C22" s="28"/>
      <c r="D22" s="28"/>
      <c r="E22" s="28"/>
      <c r="F22" s="28"/>
      <c r="G22" s="28"/>
      <c r="H22" s="28"/>
      <c r="I22" s="28"/>
      <c r="J22" s="28"/>
      <c r="K22" s="28"/>
      <c r="L22" s="28"/>
      <c r="M22" s="28"/>
      <c r="N22" s="28"/>
      <c r="O22" s="28"/>
      <c r="P22" s="28"/>
      <c r="Q22" s="28"/>
      <c r="R22" s="28"/>
      <c r="S22" s="28"/>
      <c r="T22" s="28"/>
      <c r="U22" s="28"/>
      <c r="V22" s="28"/>
      <c r="W22" s="28"/>
      <c r="X22" s="28"/>
      <c r="Y22" s="28"/>
      <c r="Z22" s="28"/>
    </row>
    <row r="23" spans="1:26" ht="15" x14ac:dyDescent="0.25">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ht="15" x14ac:dyDescent="0.25">
      <c r="A24" s="28"/>
      <c r="B24" s="33" t="s">
        <v>197</v>
      </c>
      <c r="C24" s="31" t="s">
        <v>198</v>
      </c>
      <c r="D24" s="28"/>
      <c r="E24" s="28"/>
      <c r="F24" s="28"/>
      <c r="G24" s="28"/>
      <c r="H24" s="28"/>
      <c r="I24" s="28"/>
      <c r="J24" s="28"/>
      <c r="K24" s="28"/>
      <c r="L24" s="28"/>
      <c r="M24" s="28"/>
      <c r="N24" s="28"/>
      <c r="O24" s="28"/>
      <c r="P24" s="28"/>
      <c r="Q24" s="28"/>
      <c r="R24" s="28"/>
      <c r="S24" s="28"/>
      <c r="T24" s="28"/>
      <c r="U24" s="28"/>
      <c r="V24" s="28"/>
      <c r="W24" s="28"/>
      <c r="X24" s="28"/>
      <c r="Y24" s="28"/>
      <c r="Z24" s="28"/>
    </row>
    <row r="25" spans="1:26" ht="15" x14ac:dyDescent="0.2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spans="1:26" ht="15" x14ac:dyDescent="0.25">
      <c r="A26" s="28"/>
      <c r="B26" s="33" t="s">
        <v>199</v>
      </c>
      <c r="C26" s="40" t="s">
        <v>229</v>
      </c>
      <c r="D26" s="28">
        <f>(D20*0.2)*(1-0.07*1)</f>
        <v>9300000</v>
      </c>
      <c r="E26" s="31" t="s">
        <v>228</v>
      </c>
      <c r="F26" s="28"/>
      <c r="G26" s="28"/>
      <c r="H26" s="28"/>
      <c r="I26" s="28"/>
      <c r="J26" s="28"/>
      <c r="K26" s="28"/>
      <c r="L26" s="28"/>
      <c r="M26" s="28"/>
      <c r="N26" s="28"/>
      <c r="O26" s="28"/>
      <c r="P26" s="28"/>
      <c r="Q26" s="28"/>
      <c r="R26" s="28"/>
      <c r="S26" s="28"/>
      <c r="T26" s="28"/>
      <c r="U26" s="28"/>
      <c r="V26" s="28"/>
      <c r="W26" s="28"/>
      <c r="X26" s="28"/>
      <c r="Y26" s="28"/>
      <c r="Z26" s="28"/>
    </row>
    <row r="27" spans="1:26" ht="15" x14ac:dyDescent="0.25">
      <c r="A27" s="28"/>
      <c r="B27" s="33" t="s">
        <v>200</v>
      </c>
      <c r="C27" s="40" t="s">
        <v>230</v>
      </c>
      <c r="D27" s="28">
        <f>(D20*0.2)*(1-0.08*1)</f>
        <v>9200000</v>
      </c>
      <c r="E27" s="31" t="s">
        <v>227</v>
      </c>
      <c r="F27" s="28"/>
      <c r="G27" s="28"/>
      <c r="H27" s="28"/>
      <c r="I27" s="28"/>
      <c r="J27" s="28"/>
      <c r="K27" s="28"/>
      <c r="L27" s="28"/>
      <c r="M27" s="28"/>
      <c r="N27" s="28"/>
      <c r="O27" s="28"/>
      <c r="P27" s="28"/>
      <c r="Q27" s="28"/>
      <c r="R27" s="28"/>
      <c r="S27" s="28"/>
      <c r="T27" s="28"/>
      <c r="U27" s="28"/>
      <c r="V27" s="28"/>
      <c r="W27" s="28"/>
      <c r="X27" s="28"/>
      <c r="Y27" s="28"/>
      <c r="Z27" s="28"/>
    </row>
    <row r="28" spans="1:26" ht="15" x14ac:dyDescent="0.25">
      <c r="A28" s="28"/>
      <c r="B28" s="33" t="s">
        <v>201</v>
      </c>
      <c r="C28" s="40" t="s">
        <v>231</v>
      </c>
      <c r="D28" s="32">
        <f>D20*0.6*(1-8%)^(3)</f>
        <v>23360640</v>
      </c>
      <c r="E28" s="75" t="s">
        <v>492</v>
      </c>
      <c r="F28" s="28"/>
      <c r="G28" s="28"/>
      <c r="H28" s="28"/>
      <c r="I28" s="28"/>
      <c r="J28" s="28"/>
      <c r="K28" s="28"/>
      <c r="L28" s="28"/>
      <c r="M28" s="28"/>
      <c r="N28" s="28"/>
      <c r="O28" s="28"/>
      <c r="P28" s="28"/>
      <c r="Q28" s="28"/>
      <c r="R28" s="28"/>
      <c r="S28" s="28"/>
      <c r="T28" s="28"/>
      <c r="U28" s="28"/>
      <c r="V28" s="28"/>
      <c r="W28" s="28"/>
      <c r="X28" s="28"/>
      <c r="Y28" s="28"/>
      <c r="Z28" s="28"/>
    </row>
    <row r="29" spans="1:26" ht="15" x14ac:dyDescent="0.25">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spans="1:26" ht="15" x14ac:dyDescent="0.25">
      <c r="A30" s="28"/>
      <c r="B30" s="31"/>
      <c r="C30" s="37">
        <f>SUM(D26:D28)</f>
        <v>41860640</v>
      </c>
      <c r="D30" s="28"/>
      <c r="E30" s="28"/>
      <c r="F30" s="28"/>
      <c r="G30" s="28"/>
      <c r="H30" s="28"/>
      <c r="I30" s="28"/>
      <c r="J30" s="28"/>
      <c r="K30" s="28"/>
      <c r="L30" s="28"/>
      <c r="M30" s="28"/>
      <c r="N30" s="28"/>
      <c r="O30" s="28"/>
      <c r="P30" s="28"/>
      <c r="Q30" s="28"/>
      <c r="R30" s="28"/>
      <c r="S30" s="28"/>
      <c r="T30" s="28"/>
      <c r="U30" s="28"/>
      <c r="V30" s="28"/>
      <c r="W30" s="28"/>
      <c r="X30" s="28"/>
      <c r="Y30" s="28"/>
      <c r="Z30" s="28"/>
    </row>
    <row r="31" spans="1:26" ht="15" x14ac:dyDescent="0.25">
      <c r="A31" s="28"/>
      <c r="B31" s="28"/>
      <c r="C31" s="28"/>
      <c r="D31" s="31"/>
      <c r="E31" s="28"/>
      <c r="F31" s="28"/>
      <c r="G31" s="28"/>
      <c r="H31" s="28"/>
      <c r="I31" s="28"/>
      <c r="J31" s="28"/>
      <c r="K31" s="28"/>
      <c r="L31" s="28"/>
      <c r="M31" s="28"/>
      <c r="N31" s="28"/>
      <c r="O31" s="28"/>
      <c r="P31" s="28"/>
      <c r="Q31" s="28"/>
      <c r="R31" s="28"/>
      <c r="S31" s="28"/>
      <c r="T31" s="28"/>
      <c r="U31" s="28"/>
      <c r="V31" s="28"/>
      <c r="W31" s="28"/>
      <c r="X31" s="28"/>
      <c r="Y31" s="28"/>
      <c r="Z31" s="28"/>
    </row>
    <row r="32" spans="1:26" ht="15.6" x14ac:dyDescent="0.3">
      <c r="A32" s="28"/>
      <c r="B32" s="30" t="s">
        <v>202</v>
      </c>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ht="15.6" x14ac:dyDescent="0.3">
      <c r="A33" s="28"/>
      <c r="B33" s="30"/>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ht="15" x14ac:dyDescent="0.25">
      <c r="A34" s="28"/>
      <c r="B34" s="28" t="s">
        <v>233</v>
      </c>
      <c r="C34" s="28"/>
      <c r="D34" s="28" t="s">
        <v>232</v>
      </c>
      <c r="E34" s="28"/>
      <c r="F34" s="28"/>
      <c r="G34" s="28"/>
      <c r="H34" s="28"/>
      <c r="I34" s="28"/>
      <c r="J34" s="28"/>
      <c r="K34" s="28"/>
      <c r="L34" s="28"/>
      <c r="M34" s="28"/>
      <c r="N34" s="28"/>
      <c r="O34" s="28"/>
      <c r="P34" s="28"/>
      <c r="Q34" s="28"/>
      <c r="R34" s="28"/>
      <c r="S34" s="28"/>
      <c r="T34" s="28"/>
      <c r="U34" s="28"/>
      <c r="V34" s="28"/>
      <c r="W34" s="28"/>
      <c r="X34" s="28"/>
      <c r="Y34" s="28"/>
      <c r="Z34" s="28"/>
    </row>
    <row r="35" spans="1:26" ht="15" x14ac:dyDescent="0.25">
      <c r="A35" s="28"/>
      <c r="B35" s="33" t="s">
        <v>203</v>
      </c>
      <c r="C35" s="34">
        <v>0.1</v>
      </c>
      <c r="D35" s="33" t="s">
        <v>204</v>
      </c>
      <c r="E35" s="35">
        <f>C35/4</f>
        <v>2.5000000000000001E-2</v>
      </c>
      <c r="F35" s="33"/>
      <c r="G35" s="28"/>
      <c r="H35" s="28"/>
      <c r="I35" s="28"/>
      <c r="J35" s="28"/>
      <c r="K35" s="28"/>
      <c r="L35" s="28"/>
      <c r="M35" s="28"/>
      <c r="N35" s="28"/>
      <c r="O35" s="28"/>
      <c r="P35" s="28"/>
      <c r="Q35" s="28"/>
      <c r="R35" s="28"/>
      <c r="S35" s="28"/>
      <c r="T35" s="28"/>
      <c r="U35" s="28"/>
      <c r="V35" s="28"/>
      <c r="W35" s="28"/>
      <c r="X35" s="28"/>
      <c r="Y35" s="28"/>
      <c r="Z35" s="28"/>
    </row>
    <row r="36" spans="1:26" ht="15" x14ac:dyDescent="0.25">
      <c r="A36" s="28"/>
      <c r="B36" s="33" t="s">
        <v>205</v>
      </c>
      <c r="C36" s="34">
        <v>0.1</v>
      </c>
      <c r="D36" s="33" t="s">
        <v>206</v>
      </c>
      <c r="E36" s="35">
        <f>C36/2</f>
        <v>0.05</v>
      </c>
      <c r="F36" s="33"/>
      <c r="G36" s="28"/>
      <c r="H36" s="28"/>
      <c r="I36" s="28"/>
      <c r="J36" s="28"/>
      <c r="K36" s="28"/>
      <c r="L36" s="28"/>
      <c r="M36" s="28"/>
      <c r="N36" s="28"/>
      <c r="O36" s="28"/>
      <c r="P36" s="28"/>
      <c r="Q36" s="28"/>
      <c r="R36" s="28"/>
      <c r="S36" s="28"/>
      <c r="T36" s="28"/>
      <c r="U36" s="28"/>
      <c r="V36" s="28"/>
      <c r="W36" s="28"/>
      <c r="X36" s="28"/>
      <c r="Y36" s="28"/>
      <c r="Z36" s="28"/>
    </row>
    <row r="37" spans="1:26" ht="15" x14ac:dyDescent="0.2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ht="15" x14ac:dyDescent="0.25">
      <c r="A38" s="28"/>
      <c r="B38" s="28" t="s">
        <v>234</v>
      </c>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ht="15" x14ac:dyDescent="0.25">
      <c r="A39" s="28"/>
      <c r="B39" s="31">
        <v>30000000</v>
      </c>
      <c r="C39" s="31" t="s">
        <v>207</v>
      </c>
      <c r="D39" s="28">
        <f>B39*((1+E35)^8)*((1+E36)^6)</f>
        <v>48983292.344337277</v>
      </c>
      <c r="E39" s="28"/>
      <c r="F39" s="28"/>
      <c r="G39" s="28"/>
      <c r="H39" s="28"/>
      <c r="I39" s="28"/>
      <c r="J39" s="28"/>
      <c r="K39" s="28"/>
      <c r="L39" s="28"/>
      <c r="M39" s="28"/>
      <c r="N39" s="28"/>
      <c r="O39" s="28"/>
      <c r="P39" s="28"/>
      <c r="Q39" s="28"/>
      <c r="R39" s="28"/>
      <c r="S39" s="28"/>
      <c r="T39" s="28"/>
      <c r="U39" s="28"/>
      <c r="V39" s="28"/>
      <c r="W39" s="28"/>
      <c r="X39" s="28"/>
      <c r="Y39" s="28"/>
      <c r="Z39" s="28"/>
    </row>
    <row r="40" spans="1:26" ht="15" x14ac:dyDescent="0.25">
      <c r="A40" s="28"/>
      <c r="B40" s="31">
        <v>10000000</v>
      </c>
      <c r="C40" s="31" t="s">
        <v>208</v>
      </c>
      <c r="D40" s="28">
        <f>B40*((1+E35)^4)*((1+E36)^6)</f>
        <v>14792148.427922422</v>
      </c>
      <c r="E40" s="28"/>
      <c r="F40" s="28"/>
      <c r="G40" s="28"/>
      <c r="H40" s="28"/>
      <c r="I40" s="28"/>
      <c r="J40" s="28"/>
      <c r="K40" s="28"/>
      <c r="L40" s="28"/>
      <c r="M40" s="28"/>
      <c r="N40" s="28"/>
      <c r="O40" s="28"/>
      <c r="P40" s="28"/>
      <c r="Q40" s="28"/>
      <c r="R40" s="28"/>
      <c r="S40" s="28"/>
      <c r="T40" s="28"/>
      <c r="U40" s="28"/>
      <c r="V40" s="28"/>
      <c r="W40" s="28"/>
      <c r="X40" s="28"/>
      <c r="Y40" s="28"/>
      <c r="Z40" s="28"/>
    </row>
    <row r="41" spans="1:26" ht="15" x14ac:dyDescent="0.25">
      <c r="A41" s="28"/>
      <c r="B41" s="28"/>
      <c r="C41" s="28"/>
      <c r="D41" s="37">
        <f>SUM(D39:D40)</f>
        <v>63775440.772259697</v>
      </c>
      <c r="E41" s="28"/>
      <c r="F41" s="28"/>
      <c r="G41" s="28"/>
      <c r="H41" s="28"/>
      <c r="I41" s="28"/>
      <c r="J41" s="28"/>
      <c r="K41" s="28"/>
      <c r="L41" s="28"/>
      <c r="M41" s="28"/>
      <c r="N41" s="28"/>
      <c r="O41" s="28"/>
      <c r="P41" s="28"/>
      <c r="Q41" s="28"/>
      <c r="R41" s="28"/>
      <c r="S41" s="28"/>
      <c r="T41" s="28"/>
      <c r="U41" s="28"/>
      <c r="V41" s="28"/>
      <c r="W41" s="28"/>
      <c r="X41" s="28"/>
      <c r="Y41" s="28"/>
      <c r="Z41" s="28"/>
    </row>
    <row r="42" spans="1:26" ht="15" x14ac:dyDescent="0.2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1:26" ht="15.6" x14ac:dyDescent="0.3">
      <c r="A43" s="28"/>
      <c r="B43" s="38">
        <f>C18+C30+D41</f>
        <v>148386080.77225971</v>
      </c>
      <c r="C43" s="31" t="s">
        <v>235</v>
      </c>
      <c r="D43" s="28"/>
      <c r="E43" s="28"/>
      <c r="F43" s="28"/>
      <c r="G43" s="28"/>
      <c r="H43" s="28"/>
      <c r="I43" s="28"/>
      <c r="J43" s="28"/>
      <c r="K43" s="28"/>
      <c r="L43" s="28"/>
      <c r="M43" s="28"/>
      <c r="N43" s="28"/>
      <c r="O43" s="28"/>
      <c r="P43" s="28"/>
      <c r="Q43" s="28"/>
      <c r="R43" s="28"/>
      <c r="S43" s="28"/>
      <c r="T43" s="28"/>
      <c r="U43" s="28"/>
      <c r="V43" s="28"/>
      <c r="W43" s="28"/>
      <c r="X43" s="28"/>
      <c r="Y43" s="28"/>
      <c r="Z43" s="28"/>
    </row>
    <row r="44" spans="1:26" ht="15"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ht="15" x14ac:dyDescent="0.25">
      <c r="A45" s="28"/>
      <c r="B45" s="31" t="s">
        <v>209</v>
      </c>
      <c r="C45" s="28">
        <f>C6+C7*(1+F7)^(-0.5)+C8*(1+F7)^(-0.75)</f>
        <v>152934530.60342464</v>
      </c>
      <c r="D45" s="28" t="s">
        <v>236</v>
      </c>
      <c r="E45" s="28"/>
      <c r="F45" s="28"/>
      <c r="G45" s="28"/>
      <c r="H45" s="28"/>
      <c r="I45" s="28"/>
      <c r="J45" s="28"/>
      <c r="K45" s="28"/>
      <c r="L45" s="28"/>
      <c r="M45" s="28"/>
      <c r="N45" s="28"/>
      <c r="O45" s="28"/>
      <c r="P45" s="28"/>
      <c r="Q45" s="28"/>
      <c r="R45" s="28"/>
      <c r="S45" s="28"/>
      <c r="T45" s="28"/>
      <c r="U45" s="28"/>
      <c r="V45" s="28"/>
      <c r="W45" s="28"/>
      <c r="X45" s="28"/>
      <c r="Y45" s="28"/>
      <c r="Z45" s="28"/>
    </row>
    <row r="46" spans="1:26" ht="15"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15" x14ac:dyDescent="0.25">
      <c r="A47" s="28"/>
      <c r="B47" s="41" t="s">
        <v>210</v>
      </c>
      <c r="C47" s="42"/>
      <c r="D47" s="43">
        <f>C45-B43</f>
        <v>4548449.8311649263</v>
      </c>
      <c r="E47" s="28"/>
      <c r="F47" s="28"/>
      <c r="G47" s="28"/>
      <c r="H47" s="28"/>
      <c r="I47" s="28"/>
      <c r="J47" s="28"/>
      <c r="K47" s="28"/>
      <c r="L47" s="28"/>
      <c r="M47" s="28"/>
      <c r="N47" s="28"/>
      <c r="O47" s="28"/>
      <c r="P47" s="28"/>
      <c r="Q47" s="28"/>
      <c r="R47" s="28"/>
      <c r="S47" s="28"/>
      <c r="T47" s="28"/>
      <c r="U47" s="28"/>
      <c r="V47" s="28"/>
      <c r="W47" s="28"/>
      <c r="X47" s="28"/>
      <c r="Y47" s="28"/>
      <c r="Z47" s="28"/>
    </row>
    <row r="48" spans="1:26" ht="15" x14ac:dyDescent="0.25">
      <c r="A48" s="28"/>
      <c r="B48" s="28" t="s">
        <v>237</v>
      </c>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15" x14ac:dyDescent="0.2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15"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15"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15.6" x14ac:dyDescent="0.3">
      <c r="A52" s="28"/>
      <c r="B52" s="30" t="s">
        <v>211</v>
      </c>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15"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15" x14ac:dyDescent="0.25">
      <c r="A54" s="28"/>
      <c r="B54" s="33" t="s">
        <v>212</v>
      </c>
      <c r="C54" s="35">
        <f>100000</f>
        <v>100000</v>
      </c>
      <c r="D54" s="28"/>
      <c r="E54" s="28"/>
      <c r="F54" s="28"/>
      <c r="G54" s="28"/>
      <c r="H54" s="28"/>
      <c r="I54" s="28"/>
      <c r="J54" s="28"/>
      <c r="K54" s="28"/>
      <c r="L54" s="28"/>
      <c r="M54" s="28"/>
      <c r="N54" s="28"/>
      <c r="O54" s="28"/>
      <c r="P54" s="28"/>
      <c r="Q54" s="28"/>
      <c r="R54" s="28"/>
      <c r="S54" s="28"/>
      <c r="T54" s="28"/>
      <c r="U54" s="28"/>
      <c r="V54" s="28"/>
      <c r="W54" s="28"/>
      <c r="X54" s="28"/>
      <c r="Y54" s="28"/>
      <c r="Z54" s="28"/>
    </row>
    <row r="55" spans="1:26" ht="15" x14ac:dyDescent="0.25">
      <c r="A55" s="28"/>
      <c r="B55" s="33" t="s">
        <v>91</v>
      </c>
      <c r="C55" s="35">
        <v>1000</v>
      </c>
      <c r="D55" s="28"/>
      <c r="E55" s="28"/>
      <c r="F55" s="28"/>
      <c r="G55" s="28"/>
      <c r="H55" s="28"/>
      <c r="I55" s="28"/>
      <c r="J55" s="28"/>
      <c r="K55" s="28"/>
      <c r="L55" s="28"/>
      <c r="M55" s="28"/>
      <c r="N55" s="28"/>
      <c r="O55" s="28"/>
      <c r="P55" s="28"/>
      <c r="Q55" s="28"/>
      <c r="R55" s="28"/>
      <c r="S55" s="28"/>
      <c r="T55" s="28"/>
      <c r="U55" s="28"/>
      <c r="V55" s="28"/>
      <c r="W55" s="28"/>
      <c r="X55" s="28"/>
      <c r="Y55" s="28"/>
      <c r="Z55" s="28"/>
    </row>
    <row r="56" spans="1:26" ht="15" x14ac:dyDescent="0.25">
      <c r="A56" s="28"/>
      <c r="B56" s="33" t="s">
        <v>213</v>
      </c>
      <c r="C56" s="35">
        <v>10</v>
      </c>
      <c r="D56" s="28"/>
      <c r="E56" s="28"/>
      <c r="F56" s="28"/>
      <c r="G56" s="28"/>
      <c r="H56" s="28"/>
      <c r="I56" s="28"/>
      <c r="J56" s="28"/>
      <c r="K56" s="28"/>
      <c r="L56" s="28"/>
      <c r="M56" s="28"/>
      <c r="N56" s="28"/>
      <c r="O56" s="28"/>
      <c r="P56" s="28"/>
      <c r="Q56" s="28"/>
      <c r="R56" s="28"/>
      <c r="S56" s="28"/>
      <c r="T56" s="28"/>
      <c r="U56" s="28"/>
      <c r="V56" s="28"/>
      <c r="W56" s="28"/>
      <c r="X56" s="28"/>
      <c r="Y56" s="28"/>
      <c r="Z56" s="28"/>
    </row>
    <row r="57" spans="1:26" ht="15" x14ac:dyDescent="0.25">
      <c r="A57" s="28"/>
      <c r="B57" s="33" t="s">
        <v>214</v>
      </c>
      <c r="C57" s="35"/>
      <c r="D57" s="28"/>
      <c r="E57" s="28"/>
      <c r="F57" s="28"/>
      <c r="G57" s="28"/>
      <c r="H57" s="28"/>
      <c r="I57" s="28"/>
      <c r="J57" s="28"/>
      <c r="K57" s="28"/>
      <c r="L57" s="28"/>
      <c r="M57" s="28"/>
      <c r="N57" s="28"/>
      <c r="O57" s="28"/>
      <c r="P57" s="28"/>
      <c r="Q57" s="28"/>
      <c r="R57" s="28"/>
      <c r="S57" s="28"/>
      <c r="T57" s="28"/>
      <c r="U57" s="28"/>
      <c r="V57" s="28"/>
      <c r="W57" s="28"/>
      <c r="X57" s="28"/>
      <c r="Y57" s="28"/>
      <c r="Z57" s="28"/>
    </row>
    <row r="58" spans="1:26" ht="15" x14ac:dyDescent="0.25">
      <c r="A58" s="28"/>
      <c r="B58" s="33" t="s">
        <v>215</v>
      </c>
      <c r="C58" s="35">
        <v>60</v>
      </c>
      <c r="D58" s="28"/>
      <c r="E58" s="28"/>
      <c r="F58" s="28"/>
      <c r="G58" s="28"/>
      <c r="H58" s="28"/>
      <c r="I58" s="28"/>
      <c r="J58" s="28"/>
      <c r="K58" s="28"/>
      <c r="L58" s="28"/>
      <c r="M58" s="28"/>
      <c r="N58" s="28"/>
      <c r="O58" s="28"/>
      <c r="P58" s="28"/>
      <c r="Q58" s="28"/>
      <c r="R58" s="28"/>
      <c r="S58" s="28"/>
      <c r="T58" s="28"/>
      <c r="U58" s="28"/>
      <c r="V58" s="28"/>
      <c r="W58" s="28"/>
      <c r="X58" s="28"/>
      <c r="Y58" s="28"/>
      <c r="Z58" s="28"/>
    </row>
    <row r="59" spans="1:26" ht="15" x14ac:dyDescent="0.25">
      <c r="A59" s="28"/>
      <c r="B59" s="33" t="s">
        <v>189</v>
      </c>
      <c r="C59" s="39">
        <f>C58/C55</f>
        <v>0.06</v>
      </c>
      <c r="D59" s="28"/>
      <c r="E59" s="28"/>
      <c r="F59" s="28"/>
      <c r="G59" s="28"/>
      <c r="H59" s="28"/>
      <c r="I59" s="28"/>
      <c r="J59" s="28"/>
      <c r="K59" s="28"/>
      <c r="L59" s="28"/>
      <c r="M59" s="28"/>
      <c r="N59" s="28"/>
      <c r="O59" s="28"/>
      <c r="P59" s="28"/>
      <c r="Q59" s="28"/>
      <c r="R59" s="28"/>
      <c r="S59" s="28"/>
      <c r="T59" s="28"/>
      <c r="U59" s="28"/>
      <c r="V59" s="28"/>
      <c r="W59" s="28"/>
      <c r="X59" s="28"/>
      <c r="Y59" s="28"/>
      <c r="Z59" s="28"/>
    </row>
    <row r="60" spans="1:26" ht="15" x14ac:dyDescent="0.2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15"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15" x14ac:dyDescent="0.25">
      <c r="A62" s="28"/>
      <c r="B62" s="31" t="s">
        <v>216</v>
      </c>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15"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15" x14ac:dyDescent="0.25">
      <c r="A64" s="28"/>
      <c r="B64" s="31" t="s">
        <v>238</v>
      </c>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15"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15" x14ac:dyDescent="0.25">
      <c r="A66" s="28"/>
      <c r="B66" s="31" t="s">
        <v>217</v>
      </c>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5" x14ac:dyDescent="0.25">
      <c r="A67" s="28"/>
      <c r="B67" s="33" t="s">
        <v>218</v>
      </c>
      <c r="C67" s="42">
        <f>(C54*C55)/((1-(1+C59)^(-C56))/C59)</f>
        <v>13586795.822038371</v>
      </c>
      <c r="D67" s="28" t="s">
        <v>246</v>
      </c>
      <c r="E67" s="28"/>
      <c r="F67" s="28"/>
      <c r="G67" s="28"/>
      <c r="H67" s="28"/>
      <c r="I67" s="28"/>
      <c r="J67" s="28"/>
      <c r="K67" s="28"/>
      <c r="L67" s="28"/>
      <c r="M67" s="28"/>
      <c r="N67" s="28"/>
      <c r="O67" s="28"/>
      <c r="P67" s="28"/>
      <c r="Q67" s="28"/>
      <c r="R67" s="28"/>
      <c r="S67" s="28"/>
      <c r="T67" s="28"/>
      <c r="U67" s="28"/>
      <c r="V67" s="28"/>
      <c r="W67" s="28"/>
      <c r="X67" s="28"/>
      <c r="Y67" s="28"/>
      <c r="Z67" s="28"/>
    </row>
    <row r="68" spans="1:26" ht="15"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5"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5" x14ac:dyDescent="0.25">
      <c r="A70" s="28"/>
      <c r="B70" s="31" t="s">
        <v>219</v>
      </c>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5"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5" x14ac:dyDescent="0.25">
      <c r="A72" s="28"/>
      <c r="B72" s="31" t="s">
        <v>220</v>
      </c>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5" x14ac:dyDescent="0.25">
      <c r="A73" s="28"/>
      <c r="B73" s="31" t="s">
        <v>239</v>
      </c>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5" x14ac:dyDescent="0.25">
      <c r="A74" s="28"/>
      <c r="B74" s="33" t="s">
        <v>240</v>
      </c>
      <c r="C74" s="35">
        <f>(C67-(C54*C55*C59))/C55</f>
        <v>7586.7958220383707</v>
      </c>
      <c r="D74" s="28" t="s">
        <v>241</v>
      </c>
      <c r="E74" s="28"/>
      <c r="F74" s="28"/>
      <c r="G74" s="28"/>
      <c r="H74" s="28"/>
      <c r="I74" s="28"/>
      <c r="J74" s="28"/>
      <c r="K74" s="28"/>
      <c r="L74" s="28"/>
      <c r="M74" s="28"/>
      <c r="N74" s="28"/>
      <c r="O74" s="28"/>
      <c r="P74" s="28"/>
      <c r="Q74" s="28"/>
      <c r="R74" s="28"/>
      <c r="S74" s="28"/>
      <c r="T74" s="28"/>
      <c r="U74" s="28"/>
      <c r="V74" s="28"/>
      <c r="W74" s="28"/>
      <c r="X74" s="28"/>
      <c r="Y74" s="28"/>
      <c r="Z74" s="28"/>
    </row>
    <row r="75" spans="1:26" ht="15" x14ac:dyDescent="0.25">
      <c r="A75" s="28"/>
      <c r="B75" s="33" t="s">
        <v>242</v>
      </c>
      <c r="C75" s="43">
        <f>C74*(1+C59)^4</f>
        <v>9578.1549255477057</v>
      </c>
      <c r="D75" s="28" t="s">
        <v>245</v>
      </c>
      <c r="E75" s="28"/>
      <c r="F75" s="28"/>
      <c r="G75" s="28"/>
      <c r="H75" s="28"/>
      <c r="I75" s="28"/>
      <c r="J75" s="28"/>
      <c r="K75" s="28"/>
      <c r="L75" s="28"/>
      <c r="M75" s="28"/>
      <c r="N75" s="28"/>
      <c r="O75" s="28"/>
      <c r="P75" s="28"/>
      <c r="Q75" s="28"/>
      <c r="R75" s="28"/>
      <c r="S75" s="28"/>
      <c r="T75" s="28"/>
      <c r="U75" s="28"/>
      <c r="V75" s="28"/>
      <c r="W75" s="28"/>
      <c r="X75" s="28"/>
      <c r="Y75" s="28"/>
      <c r="Z75" s="28"/>
    </row>
    <row r="76" spans="1:26" ht="15"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5" x14ac:dyDescent="0.25">
      <c r="A77" s="28"/>
      <c r="B77" s="31" t="s">
        <v>221</v>
      </c>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5"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5" x14ac:dyDescent="0.25">
      <c r="A79" s="28"/>
      <c r="B79" s="31" t="s">
        <v>222</v>
      </c>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5" x14ac:dyDescent="0.25">
      <c r="A80" s="28"/>
      <c r="B80" s="31" t="s">
        <v>244</v>
      </c>
      <c r="C80" s="28">
        <f>(C67*((1-(1+C59)^(-4))/C59))/C55</f>
        <v>47079.682461549441</v>
      </c>
      <c r="D80" s="28" t="s">
        <v>245</v>
      </c>
      <c r="E80" s="28"/>
      <c r="F80" s="28"/>
      <c r="G80" s="28"/>
      <c r="H80" s="28"/>
      <c r="I80" s="28"/>
      <c r="J80" s="28"/>
      <c r="K80" s="28"/>
      <c r="L80" s="28"/>
      <c r="M80" s="28"/>
      <c r="N80" s="28"/>
      <c r="O80" s="28"/>
      <c r="P80" s="28"/>
      <c r="Q80" s="28"/>
      <c r="R80" s="28"/>
      <c r="S80" s="28"/>
      <c r="T80" s="28"/>
      <c r="U80" s="28"/>
      <c r="V80" s="28"/>
      <c r="W80" s="28"/>
      <c r="X80" s="28"/>
      <c r="Y80" s="28"/>
      <c r="Z80" s="28"/>
    </row>
    <row r="81" spans="1:26" ht="15" x14ac:dyDescent="0.25">
      <c r="A81" s="28"/>
      <c r="B81" s="33" t="s">
        <v>243</v>
      </c>
      <c r="C81" s="42">
        <f>C80*C55*C59</f>
        <v>2824780.9476929661</v>
      </c>
      <c r="D81" s="28" t="s">
        <v>246</v>
      </c>
      <c r="E81" s="28"/>
      <c r="F81" s="28"/>
      <c r="G81" s="28"/>
      <c r="H81" s="28"/>
      <c r="I81" s="28"/>
      <c r="J81" s="28"/>
      <c r="K81" s="28"/>
      <c r="L81" s="28"/>
      <c r="M81" s="28"/>
      <c r="N81" s="28"/>
      <c r="O81" s="28"/>
      <c r="P81" s="28"/>
      <c r="Q81" s="28"/>
      <c r="R81" s="28"/>
      <c r="S81" s="28"/>
      <c r="T81" s="28"/>
      <c r="U81" s="28"/>
      <c r="V81" s="28"/>
      <c r="W81" s="28"/>
      <c r="X81" s="28"/>
      <c r="Y81" s="28"/>
      <c r="Z81" s="28"/>
    </row>
    <row r="82" spans="1:26" ht="15" x14ac:dyDescent="0.25">
      <c r="A82" s="28"/>
      <c r="B82" s="33"/>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5" x14ac:dyDescent="0.25">
      <c r="A83" s="28"/>
      <c r="B83" s="31" t="s">
        <v>223</v>
      </c>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5"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5" x14ac:dyDescent="0.25">
      <c r="A85" s="28"/>
      <c r="B85" s="31" t="s">
        <v>247</v>
      </c>
      <c r="C85" s="42">
        <f>(C67*((1-(1+C59)^(-5))/C59))/C55</f>
        <v>57232.52668263005</v>
      </c>
      <c r="D85" s="28" t="s">
        <v>245</v>
      </c>
      <c r="E85" s="28"/>
      <c r="F85" s="28"/>
      <c r="G85" s="28"/>
      <c r="H85" s="28"/>
      <c r="I85" s="28"/>
      <c r="J85" s="28"/>
      <c r="K85" s="28"/>
      <c r="L85" s="28"/>
      <c r="M85" s="28"/>
      <c r="N85" s="28"/>
      <c r="O85" s="28"/>
      <c r="P85" s="28"/>
      <c r="Q85" s="28"/>
      <c r="R85" s="28"/>
      <c r="S85" s="28"/>
      <c r="T85" s="28"/>
      <c r="U85" s="28"/>
      <c r="V85" s="28"/>
      <c r="W85" s="28"/>
      <c r="X85" s="28"/>
      <c r="Y85" s="28"/>
      <c r="Z85" s="28"/>
    </row>
    <row r="86" spans="1:26" ht="15"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5"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5" x14ac:dyDescent="0.25">
      <c r="A88" s="28"/>
      <c r="B88" s="31" t="s">
        <v>224</v>
      </c>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5"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5" x14ac:dyDescent="0.25">
      <c r="A90" s="28"/>
      <c r="B90" s="31" t="s">
        <v>248</v>
      </c>
      <c r="C90" s="42">
        <f>C74*(((1+C59)^7-1)/C59)</f>
        <v>63682.332412795986</v>
      </c>
      <c r="D90" s="28" t="s">
        <v>245</v>
      </c>
      <c r="E90" s="28"/>
      <c r="F90" s="28"/>
      <c r="G90" s="28"/>
      <c r="H90" s="28"/>
      <c r="I90" s="28"/>
      <c r="J90" s="28"/>
      <c r="K90" s="28"/>
      <c r="L90" s="28"/>
      <c r="M90" s="28"/>
      <c r="N90" s="28"/>
      <c r="O90" s="28"/>
      <c r="P90" s="28"/>
      <c r="Q90" s="28"/>
      <c r="R90" s="28"/>
      <c r="S90" s="28"/>
      <c r="T90" s="28"/>
      <c r="U90" s="28"/>
      <c r="V90" s="28"/>
      <c r="W90" s="28"/>
      <c r="X90" s="28"/>
      <c r="Y90" s="28"/>
      <c r="Z90" s="28"/>
    </row>
    <row r="91" spans="1:26" ht="15" x14ac:dyDescent="0.25">
      <c r="A91" s="28"/>
      <c r="B91" s="28" t="s">
        <v>249</v>
      </c>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5"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5"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5"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5"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5" x14ac:dyDescent="0.2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5"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5" x14ac:dyDescent="0.2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5"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5"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5"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5"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5" x14ac:dyDescent="0.2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5" x14ac:dyDescent="0.2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5"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5" x14ac:dyDescent="0.2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5"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5" x14ac:dyDescent="0.2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5" x14ac:dyDescent="0.2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5" x14ac:dyDescent="0.2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5" x14ac:dyDescent="0.2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5"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5" x14ac:dyDescent="0.2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5" x14ac:dyDescent="0.2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5" x14ac:dyDescent="0.2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5" x14ac:dyDescent="0.2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5"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5"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5" x14ac:dyDescent="0.2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5" x14ac:dyDescent="0.2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5" x14ac:dyDescent="0.2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5"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5"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5" x14ac:dyDescent="0.2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5" x14ac:dyDescent="0.2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5" x14ac:dyDescent="0.2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5"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5" x14ac:dyDescent="0.2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5" x14ac:dyDescent="0.2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5" x14ac:dyDescent="0.2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5"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5"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5" x14ac:dyDescent="0.2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5"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5"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5" x14ac:dyDescent="0.2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5"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5" x14ac:dyDescent="0.2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5" x14ac:dyDescent="0.2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5" x14ac:dyDescent="0.2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5"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5"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5"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5"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5"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5"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5"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5"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5"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5"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5"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5"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5"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5"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5"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5"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5"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5"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5" x14ac:dyDescent="0.2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5"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5" x14ac:dyDescent="0.2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5"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5" x14ac:dyDescent="0.2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5"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5" x14ac:dyDescent="0.2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5" x14ac:dyDescent="0.2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5"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5" x14ac:dyDescent="0.2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5" x14ac:dyDescent="0.2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5" x14ac:dyDescent="0.2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5"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5"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5" x14ac:dyDescent="0.2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5" x14ac:dyDescent="0.2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5" x14ac:dyDescent="0.2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5" x14ac:dyDescent="0.2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5"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5"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5" x14ac:dyDescent="0.2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5" x14ac:dyDescent="0.2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5" x14ac:dyDescent="0.2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5"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5" x14ac:dyDescent="0.2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5" x14ac:dyDescent="0.2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5" x14ac:dyDescent="0.2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5" x14ac:dyDescent="0.2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5"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5" x14ac:dyDescent="0.2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5" x14ac:dyDescent="0.2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5" x14ac:dyDescent="0.2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5" x14ac:dyDescent="0.2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5" x14ac:dyDescent="0.2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5" x14ac:dyDescent="0.2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5" x14ac:dyDescent="0.2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5" x14ac:dyDescent="0.2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5" x14ac:dyDescent="0.2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5" x14ac:dyDescent="0.2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5" x14ac:dyDescent="0.2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5" x14ac:dyDescent="0.2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5" x14ac:dyDescent="0.2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5" x14ac:dyDescent="0.2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5" x14ac:dyDescent="0.2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5" x14ac:dyDescent="0.2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5" x14ac:dyDescent="0.2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5" x14ac:dyDescent="0.2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5" x14ac:dyDescent="0.2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5" x14ac:dyDescent="0.2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5" x14ac:dyDescent="0.2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5" x14ac:dyDescent="0.2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5" x14ac:dyDescent="0.2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5" x14ac:dyDescent="0.2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5" x14ac:dyDescent="0.2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5" x14ac:dyDescent="0.2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5" x14ac:dyDescent="0.2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5" x14ac:dyDescent="0.2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5" x14ac:dyDescent="0.2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5" x14ac:dyDescent="0.2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5" x14ac:dyDescent="0.2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5" x14ac:dyDescent="0.2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5" x14ac:dyDescent="0.2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5" x14ac:dyDescent="0.2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5" x14ac:dyDescent="0.2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5" x14ac:dyDescent="0.2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5" x14ac:dyDescent="0.2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5" x14ac:dyDescent="0.2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5" x14ac:dyDescent="0.2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5" x14ac:dyDescent="0.2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5" x14ac:dyDescent="0.25">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5" x14ac:dyDescent="0.25">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5" x14ac:dyDescent="0.2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5" x14ac:dyDescent="0.25">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5" x14ac:dyDescent="0.2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5" x14ac:dyDescent="0.25">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5" x14ac:dyDescent="0.25">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5" x14ac:dyDescent="0.2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5" x14ac:dyDescent="0.25">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5" x14ac:dyDescent="0.2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5" x14ac:dyDescent="0.25">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5" x14ac:dyDescent="0.2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5" x14ac:dyDescent="0.25">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5" x14ac:dyDescent="0.25">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5" x14ac:dyDescent="0.2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5" x14ac:dyDescent="0.25">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5" x14ac:dyDescent="0.2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5" x14ac:dyDescent="0.2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5" x14ac:dyDescent="0.25">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5" x14ac:dyDescent="0.2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5" x14ac:dyDescent="0.25">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5" x14ac:dyDescent="0.25">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5" x14ac:dyDescent="0.25">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5" x14ac:dyDescent="0.25">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5" x14ac:dyDescent="0.2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5" x14ac:dyDescent="0.25">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5" x14ac:dyDescent="0.25">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5" x14ac:dyDescent="0.25">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5" x14ac:dyDescent="0.25">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5" x14ac:dyDescent="0.25">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5" x14ac:dyDescent="0.25">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5" x14ac:dyDescent="0.25">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5" x14ac:dyDescent="0.25">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5" x14ac:dyDescent="0.25">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5" x14ac:dyDescent="0.25">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5" x14ac:dyDescent="0.25">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5" x14ac:dyDescent="0.25">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5" x14ac:dyDescent="0.25">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5" x14ac:dyDescent="0.25">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5" x14ac:dyDescent="0.25">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5" x14ac:dyDescent="0.25">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5" x14ac:dyDescent="0.25">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5" x14ac:dyDescent="0.25">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5" x14ac:dyDescent="0.25">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5" x14ac:dyDescent="0.25">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5" x14ac:dyDescent="0.25">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5" x14ac:dyDescent="0.25">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5" x14ac:dyDescent="0.25">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5" x14ac:dyDescent="0.25">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5" x14ac:dyDescent="0.25">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5" x14ac:dyDescent="0.25">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5" x14ac:dyDescent="0.25">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5" x14ac:dyDescent="0.25">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5" x14ac:dyDescent="0.25">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5" x14ac:dyDescent="0.25">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5" x14ac:dyDescent="0.25">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5" x14ac:dyDescent="0.25">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5" x14ac:dyDescent="0.25">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5" x14ac:dyDescent="0.25">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5" x14ac:dyDescent="0.25">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5" x14ac:dyDescent="0.25">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5" x14ac:dyDescent="0.25">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5" x14ac:dyDescent="0.25">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5" x14ac:dyDescent="0.25">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5" x14ac:dyDescent="0.25">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5" x14ac:dyDescent="0.25">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5" x14ac:dyDescent="0.25">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5" x14ac:dyDescent="0.25">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5" x14ac:dyDescent="0.25">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5" x14ac:dyDescent="0.25">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5" x14ac:dyDescent="0.25">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5" x14ac:dyDescent="0.25">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5" x14ac:dyDescent="0.25">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5" x14ac:dyDescent="0.25">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5" x14ac:dyDescent="0.25">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5" x14ac:dyDescent="0.25">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5" x14ac:dyDescent="0.25">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5" x14ac:dyDescent="0.25">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5" x14ac:dyDescent="0.25">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5" x14ac:dyDescent="0.25">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5" x14ac:dyDescent="0.25">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5" x14ac:dyDescent="0.25">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5" x14ac:dyDescent="0.25">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5" x14ac:dyDescent="0.25">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5" x14ac:dyDescent="0.25">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5" x14ac:dyDescent="0.25">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5" x14ac:dyDescent="0.25">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5" x14ac:dyDescent="0.25">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5" x14ac:dyDescent="0.25">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5" x14ac:dyDescent="0.25">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5" x14ac:dyDescent="0.25">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5" x14ac:dyDescent="0.25">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5" x14ac:dyDescent="0.25">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5" x14ac:dyDescent="0.25">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5" x14ac:dyDescent="0.25">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5" x14ac:dyDescent="0.25">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5" x14ac:dyDescent="0.25">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5" x14ac:dyDescent="0.25">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5" x14ac:dyDescent="0.25">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5" x14ac:dyDescent="0.25">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5" x14ac:dyDescent="0.25">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5" x14ac:dyDescent="0.25">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5" x14ac:dyDescent="0.25">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5" x14ac:dyDescent="0.25">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5" x14ac:dyDescent="0.25">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5" x14ac:dyDescent="0.25">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5" x14ac:dyDescent="0.25">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5" x14ac:dyDescent="0.25">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5" x14ac:dyDescent="0.25">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5" x14ac:dyDescent="0.25">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5" x14ac:dyDescent="0.25">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5" x14ac:dyDescent="0.25">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5" x14ac:dyDescent="0.25">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5" x14ac:dyDescent="0.25">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5" x14ac:dyDescent="0.25">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5" x14ac:dyDescent="0.25">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5" x14ac:dyDescent="0.25">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5" x14ac:dyDescent="0.25">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5" x14ac:dyDescent="0.25">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5" x14ac:dyDescent="0.25">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5" x14ac:dyDescent="0.25">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5" x14ac:dyDescent="0.25">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5" x14ac:dyDescent="0.25">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5" x14ac:dyDescent="0.25">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5" x14ac:dyDescent="0.25">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5" x14ac:dyDescent="0.25">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5" x14ac:dyDescent="0.25">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5" x14ac:dyDescent="0.25">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5" x14ac:dyDescent="0.25">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5" x14ac:dyDescent="0.25">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5" x14ac:dyDescent="0.25">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5" x14ac:dyDescent="0.25">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5" x14ac:dyDescent="0.25">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5" x14ac:dyDescent="0.25">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5" x14ac:dyDescent="0.25">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5" x14ac:dyDescent="0.25">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5" x14ac:dyDescent="0.25">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5" x14ac:dyDescent="0.25">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5" x14ac:dyDescent="0.25">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5" x14ac:dyDescent="0.25">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5" x14ac:dyDescent="0.25">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5" x14ac:dyDescent="0.25">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5" x14ac:dyDescent="0.25">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5" x14ac:dyDescent="0.25">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5" x14ac:dyDescent="0.25">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5" x14ac:dyDescent="0.25">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5" x14ac:dyDescent="0.25">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5" x14ac:dyDescent="0.25">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5" x14ac:dyDescent="0.25">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5" x14ac:dyDescent="0.25">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5" x14ac:dyDescent="0.25">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5" x14ac:dyDescent="0.25">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5" x14ac:dyDescent="0.25">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5" x14ac:dyDescent="0.25">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5" x14ac:dyDescent="0.25">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5" x14ac:dyDescent="0.25">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5" x14ac:dyDescent="0.25">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5" x14ac:dyDescent="0.25">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5" x14ac:dyDescent="0.25">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5" x14ac:dyDescent="0.25">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5" x14ac:dyDescent="0.25">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5" x14ac:dyDescent="0.25">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5" x14ac:dyDescent="0.25">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5" x14ac:dyDescent="0.25">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5" x14ac:dyDescent="0.25">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5" x14ac:dyDescent="0.25">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5" x14ac:dyDescent="0.25">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5" x14ac:dyDescent="0.25">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5" x14ac:dyDescent="0.25">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5" x14ac:dyDescent="0.25">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5" x14ac:dyDescent="0.25">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5" x14ac:dyDescent="0.25">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5" x14ac:dyDescent="0.25">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5" x14ac:dyDescent="0.25">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5" x14ac:dyDescent="0.25">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5" x14ac:dyDescent="0.25">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5" x14ac:dyDescent="0.25">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5" x14ac:dyDescent="0.25">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5" x14ac:dyDescent="0.25">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5" x14ac:dyDescent="0.25">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5" x14ac:dyDescent="0.25">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5" x14ac:dyDescent="0.25">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5" x14ac:dyDescent="0.25">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5" x14ac:dyDescent="0.25">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5" x14ac:dyDescent="0.25">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5" x14ac:dyDescent="0.25">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5" x14ac:dyDescent="0.25">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5" x14ac:dyDescent="0.25">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5" x14ac:dyDescent="0.25">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5" x14ac:dyDescent="0.25">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5" x14ac:dyDescent="0.25">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5" x14ac:dyDescent="0.25">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5" x14ac:dyDescent="0.25">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5" x14ac:dyDescent="0.25">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5" x14ac:dyDescent="0.25">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5" x14ac:dyDescent="0.25">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5" x14ac:dyDescent="0.25">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5" x14ac:dyDescent="0.25">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5" x14ac:dyDescent="0.25">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5" x14ac:dyDescent="0.25">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5" x14ac:dyDescent="0.25">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5" x14ac:dyDescent="0.25">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5" x14ac:dyDescent="0.25">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5" x14ac:dyDescent="0.25">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5" x14ac:dyDescent="0.25">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5" x14ac:dyDescent="0.25">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5" x14ac:dyDescent="0.25">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5" x14ac:dyDescent="0.25">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5" x14ac:dyDescent="0.25">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5" x14ac:dyDescent="0.25">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5" x14ac:dyDescent="0.25">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5" x14ac:dyDescent="0.25">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5" x14ac:dyDescent="0.25">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5" x14ac:dyDescent="0.25">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5" x14ac:dyDescent="0.25">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5" x14ac:dyDescent="0.25">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5" x14ac:dyDescent="0.25">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5" x14ac:dyDescent="0.25">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5" x14ac:dyDescent="0.25">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5" x14ac:dyDescent="0.25">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5" x14ac:dyDescent="0.25">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5" x14ac:dyDescent="0.25">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5" x14ac:dyDescent="0.25">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5" x14ac:dyDescent="0.25">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5" x14ac:dyDescent="0.25">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5" x14ac:dyDescent="0.25">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5" x14ac:dyDescent="0.25">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5" x14ac:dyDescent="0.25">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5" x14ac:dyDescent="0.25">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5" x14ac:dyDescent="0.25">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5" x14ac:dyDescent="0.25">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5" x14ac:dyDescent="0.25">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5" x14ac:dyDescent="0.25">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5" x14ac:dyDescent="0.25">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5" x14ac:dyDescent="0.25">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5" x14ac:dyDescent="0.25">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5" x14ac:dyDescent="0.25">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5" x14ac:dyDescent="0.25">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5" x14ac:dyDescent="0.25">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5" x14ac:dyDescent="0.25">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5" x14ac:dyDescent="0.25">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5" x14ac:dyDescent="0.25">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5" x14ac:dyDescent="0.25">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5" x14ac:dyDescent="0.25">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5" x14ac:dyDescent="0.25">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5" x14ac:dyDescent="0.25">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5" x14ac:dyDescent="0.25">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5" x14ac:dyDescent="0.25">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5" x14ac:dyDescent="0.25">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5" x14ac:dyDescent="0.25">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5" x14ac:dyDescent="0.25">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5" x14ac:dyDescent="0.25">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5" x14ac:dyDescent="0.25">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5" x14ac:dyDescent="0.25">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5" x14ac:dyDescent="0.25">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5" x14ac:dyDescent="0.25">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5" x14ac:dyDescent="0.25">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5" x14ac:dyDescent="0.25">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5" x14ac:dyDescent="0.25">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5" x14ac:dyDescent="0.25">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5" x14ac:dyDescent="0.25">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5" x14ac:dyDescent="0.25">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5" x14ac:dyDescent="0.25">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5" x14ac:dyDescent="0.25">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5" x14ac:dyDescent="0.25">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5" x14ac:dyDescent="0.25">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5" x14ac:dyDescent="0.25">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5" x14ac:dyDescent="0.25">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5" x14ac:dyDescent="0.25">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5" x14ac:dyDescent="0.25">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5" x14ac:dyDescent="0.25">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5" x14ac:dyDescent="0.25">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5" x14ac:dyDescent="0.25">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5" x14ac:dyDescent="0.25">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5" x14ac:dyDescent="0.25">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5" x14ac:dyDescent="0.25">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5" x14ac:dyDescent="0.25">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5" x14ac:dyDescent="0.25">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5" x14ac:dyDescent="0.25">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5" x14ac:dyDescent="0.25">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5" x14ac:dyDescent="0.25">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5" x14ac:dyDescent="0.25">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5" x14ac:dyDescent="0.25">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5" x14ac:dyDescent="0.25">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5" x14ac:dyDescent="0.25">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5" x14ac:dyDescent="0.25">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5" x14ac:dyDescent="0.25">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5" x14ac:dyDescent="0.25">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5" x14ac:dyDescent="0.25">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5" x14ac:dyDescent="0.25">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5" x14ac:dyDescent="0.25">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5" x14ac:dyDescent="0.25">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5" x14ac:dyDescent="0.25">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5" x14ac:dyDescent="0.25">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5" x14ac:dyDescent="0.25">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5" x14ac:dyDescent="0.25">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5" x14ac:dyDescent="0.25">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5" x14ac:dyDescent="0.25">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5" x14ac:dyDescent="0.25">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5" x14ac:dyDescent="0.25">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5" x14ac:dyDescent="0.25">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5" x14ac:dyDescent="0.25">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5" x14ac:dyDescent="0.25">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5" x14ac:dyDescent="0.25">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5" x14ac:dyDescent="0.25">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5" x14ac:dyDescent="0.25">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5" x14ac:dyDescent="0.25">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5" x14ac:dyDescent="0.25">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5" x14ac:dyDescent="0.25">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5" x14ac:dyDescent="0.25">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5" x14ac:dyDescent="0.25">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5" x14ac:dyDescent="0.25">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5" x14ac:dyDescent="0.25">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5" x14ac:dyDescent="0.25">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5" x14ac:dyDescent="0.25">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5" x14ac:dyDescent="0.25">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5" x14ac:dyDescent="0.25">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5" x14ac:dyDescent="0.25">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5" x14ac:dyDescent="0.25">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5" x14ac:dyDescent="0.25">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5" x14ac:dyDescent="0.25">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5" x14ac:dyDescent="0.25">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5" x14ac:dyDescent="0.25">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5" x14ac:dyDescent="0.25">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5" x14ac:dyDescent="0.25">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5" x14ac:dyDescent="0.25">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5" x14ac:dyDescent="0.25">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5" x14ac:dyDescent="0.25">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5" x14ac:dyDescent="0.25">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5" x14ac:dyDescent="0.25">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5" x14ac:dyDescent="0.25">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5" x14ac:dyDescent="0.25">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5" x14ac:dyDescent="0.25">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5" x14ac:dyDescent="0.25">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5" x14ac:dyDescent="0.25">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5" x14ac:dyDescent="0.25">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5" x14ac:dyDescent="0.25">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5" x14ac:dyDescent="0.25">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5" x14ac:dyDescent="0.25">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5" x14ac:dyDescent="0.25">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5" x14ac:dyDescent="0.25">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5" x14ac:dyDescent="0.25">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5" x14ac:dyDescent="0.25">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5" x14ac:dyDescent="0.25">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5" x14ac:dyDescent="0.25">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5" x14ac:dyDescent="0.25">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5" x14ac:dyDescent="0.25">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5" x14ac:dyDescent="0.25">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5" x14ac:dyDescent="0.25">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5" x14ac:dyDescent="0.25">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5" x14ac:dyDescent="0.25">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5" x14ac:dyDescent="0.25">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5" x14ac:dyDescent="0.25">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5" x14ac:dyDescent="0.25">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5" x14ac:dyDescent="0.25">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5" x14ac:dyDescent="0.25">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5" x14ac:dyDescent="0.25">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5" x14ac:dyDescent="0.25">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5" x14ac:dyDescent="0.25">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5" x14ac:dyDescent="0.25">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5" x14ac:dyDescent="0.25">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5" x14ac:dyDescent="0.25">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5" x14ac:dyDescent="0.25">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5" x14ac:dyDescent="0.25">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5" x14ac:dyDescent="0.25">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5" x14ac:dyDescent="0.25">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5" x14ac:dyDescent="0.25">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5" x14ac:dyDescent="0.25">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5" x14ac:dyDescent="0.25">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5" x14ac:dyDescent="0.25">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5" x14ac:dyDescent="0.25">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5" x14ac:dyDescent="0.25">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5" x14ac:dyDescent="0.25">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5" x14ac:dyDescent="0.25">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5" x14ac:dyDescent="0.25">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5" x14ac:dyDescent="0.25">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5" x14ac:dyDescent="0.25">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5" x14ac:dyDescent="0.25">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5" x14ac:dyDescent="0.25">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5" x14ac:dyDescent="0.25">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5" x14ac:dyDescent="0.25">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5" x14ac:dyDescent="0.25">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5" x14ac:dyDescent="0.25">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5" x14ac:dyDescent="0.25">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5" x14ac:dyDescent="0.25">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5" x14ac:dyDescent="0.25">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5" x14ac:dyDescent="0.25">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5" x14ac:dyDescent="0.25">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5" x14ac:dyDescent="0.25">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5" x14ac:dyDescent="0.25">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5" x14ac:dyDescent="0.25">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5" x14ac:dyDescent="0.25">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5" x14ac:dyDescent="0.25">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5" x14ac:dyDescent="0.25">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5" x14ac:dyDescent="0.25">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5" x14ac:dyDescent="0.25">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5" x14ac:dyDescent="0.25">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5" x14ac:dyDescent="0.25">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5" x14ac:dyDescent="0.25">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5" x14ac:dyDescent="0.25">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5" x14ac:dyDescent="0.25">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5" x14ac:dyDescent="0.25">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5" x14ac:dyDescent="0.25">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5" x14ac:dyDescent="0.25">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5" x14ac:dyDescent="0.25">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5" x14ac:dyDescent="0.25">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5" x14ac:dyDescent="0.25">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5" x14ac:dyDescent="0.25">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5" x14ac:dyDescent="0.25">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5" x14ac:dyDescent="0.25">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5" x14ac:dyDescent="0.25">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5" x14ac:dyDescent="0.25">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5" x14ac:dyDescent="0.25">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5" x14ac:dyDescent="0.25">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5" x14ac:dyDescent="0.25">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5" x14ac:dyDescent="0.25">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5" x14ac:dyDescent="0.25">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5" x14ac:dyDescent="0.25">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5" x14ac:dyDescent="0.25">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5" x14ac:dyDescent="0.25">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5" x14ac:dyDescent="0.25">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5" x14ac:dyDescent="0.25">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5" x14ac:dyDescent="0.25">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5" x14ac:dyDescent="0.25">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5" x14ac:dyDescent="0.25">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5" x14ac:dyDescent="0.25">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5" x14ac:dyDescent="0.25">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5" x14ac:dyDescent="0.25">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5" x14ac:dyDescent="0.25">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5" x14ac:dyDescent="0.25">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5" x14ac:dyDescent="0.25">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5" x14ac:dyDescent="0.25">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5" x14ac:dyDescent="0.25">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5" x14ac:dyDescent="0.25">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5" x14ac:dyDescent="0.25">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5" x14ac:dyDescent="0.25">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5" x14ac:dyDescent="0.25">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5" x14ac:dyDescent="0.25">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5" x14ac:dyDescent="0.25">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5" x14ac:dyDescent="0.25">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5" x14ac:dyDescent="0.25">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5" x14ac:dyDescent="0.25">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5" x14ac:dyDescent="0.25">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5" x14ac:dyDescent="0.25">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5" x14ac:dyDescent="0.25">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5" x14ac:dyDescent="0.25">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5" x14ac:dyDescent="0.25">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5" x14ac:dyDescent="0.25">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5" x14ac:dyDescent="0.25">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5" x14ac:dyDescent="0.25">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5" x14ac:dyDescent="0.25">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5" x14ac:dyDescent="0.25">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5" x14ac:dyDescent="0.25">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5" x14ac:dyDescent="0.25">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5" x14ac:dyDescent="0.25">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5" x14ac:dyDescent="0.25">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5" x14ac:dyDescent="0.25">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5" x14ac:dyDescent="0.25">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5" x14ac:dyDescent="0.25">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5" x14ac:dyDescent="0.25">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5" x14ac:dyDescent="0.25">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5" x14ac:dyDescent="0.25">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5" x14ac:dyDescent="0.25">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5" x14ac:dyDescent="0.25">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5" x14ac:dyDescent="0.25">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5" x14ac:dyDescent="0.25">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5" x14ac:dyDescent="0.25">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5" x14ac:dyDescent="0.25">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5" x14ac:dyDescent="0.25">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5" x14ac:dyDescent="0.25">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5" x14ac:dyDescent="0.25">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5" x14ac:dyDescent="0.25">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5" x14ac:dyDescent="0.25">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5" x14ac:dyDescent="0.25">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5" x14ac:dyDescent="0.25">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5" x14ac:dyDescent="0.25">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5" x14ac:dyDescent="0.25">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5" x14ac:dyDescent="0.25">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5" x14ac:dyDescent="0.25">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5" x14ac:dyDescent="0.25">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5" x14ac:dyDescent="0.25">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5" x14ac:dyDescent="0.25">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5" x14ac:dyDescent="0.25">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5" x14ac:dyDescent="0.25">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5" x14ac:dyDescent="0.25">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5" x14ac:dyDescent="0.25">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5" x14ac:dyDescent="0.25">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5" x14ac:dyDescent="0.25">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5" x14ac:dyDescent="0.25">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5" x14ac:dyDescent="0.25">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5" x14ac:dyDescent="0.25">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5" x14ac:dyDescent="0.25">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5" x14ac:dyDescent="0.25">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5" x14ac:dyDescent="0.25">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5" x14ac:dyDescent="0.25">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5" x14ac:dyDescent="0.25">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5" x14ac:dyDescent="0.25">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5" x14ac:dyDescent="0.25">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5" x14ac:dyDescent="0.25">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5" x14ac:dyDescent="0.25">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5" x14ac:dyDescent="0.25">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5" x14ac:dyDescent="0.25">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5" x14ac:dyDescent="0.25">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5" x14ac:dyDescent="0.25">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5" x14ac:dyDescent="0.25">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5" x14ac:dyDescent="0.25">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5" x14ac:dyDescent="0.25">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5" x14ac:dyDescent="0.25">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5" x14ac:dyDescent="0.25">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5" x14ac:dyDescent="0.25">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5" x14ac:dyDescent="0.25">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5" x14ac:dyDescent="0.25">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5" x14ac:dyDescent="0.25">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5" x14ac:dyDescent="0.25">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5" x14ac:dyDescent="0.25">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5" x14ac:dyDescent="0.25">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5" x14ac:dyDescent="0.25">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5" x14ac:dyDescent="0.25">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5" x14ac:dyDescent="0.25">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5" x14ac:dyDescent="0.25">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5" x14ac:dyDescent="0.25">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5" x14ac:dyDescent="0.25">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5" x14ac:dyDescent="0.25">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5" x14ac:dyDescent="0.25">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5" x14ac:dyDescent="0.25">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5" x14ac:dyDescent="0.25">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5" x14ac:dyDescent="0.25">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5" x14ac:dyDescent="0.25">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5" x14ac:dyDescent="0.25">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5" x14ac:dyDescent="0.25">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5" x14ac:dyDescent="0.25">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5" x14ac:dyDescent="0.25">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5" x14ac:dyDescent="0.25">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5" x14ac:dyDescent="0.25">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5" x14ac:dyDescent="0.25">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5" x14ac:dyDescent="0.25">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5" x14ac:dyDescent="0.25">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5" x14ac:dyDescent="0.25">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5" x14ac:dyDescent="0.25">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5" x14ac:dyDescent="0.25">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5" x14ac:dyDescent="0.25">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5" x14ac:dyDescent="0.25">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5" x14ac:dyDescent="0.25">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5" x14ac:dyDescent="0.25">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5" x14ac:dyDescent="0.25">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5" x14ac:dyDescent="0.25">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5" x14ac:dyDescent="0.25">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5" x14ac:dyDescent="0.25">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5" x14ac:dyDescent="0.25">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5" x14ac:dyDescent="0.25">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5" x14ac:dyDescent="0.25">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5" x14ac:dyDescent="0.25">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5" x14ac:dyDescent="0.25">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5" x14ac:dyDescent="0.25">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5" x14ac:dyDescent="0.25">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5" x14ac:dyDescent="0.25">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5" x14ac:dyDescent="0.25">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5" x14ac:dyDescent="0.25">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5" x14ac:dyDescent="0.25">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5" x14ac:dyDescent="0.25">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5" x14ac:dyDescent="0.25">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5" x14ac:dyDescent="0.25">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5" x14ac:dyDescent="0.25">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5" x14ac:dyDescent="0.25">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5" x14ac:dyDescent="0.25">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5" x14ac:dyDescent="0.25">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5" x14ac:dyDescent="0.25">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5" x14ac:dyDescent="0.25">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5" x14ac:dyDescent="0.25">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5" x14ac:dyDescent="0.25">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5" x14ac:dyDescent="0.25">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5" x14ac:dyDescent="0.25">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5" x14ac:dyDescent="0.25">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5" x14ac:dyDescent="0.25">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5" x14ac:dyDescent="0.25">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5" x14ac:dyDescent="0.25">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5" x14ac:dyDescent="0.25">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5" x14ac:dyDescent="0.25">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5" x14ac:dyDescent="0.25">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5" x14ac:dyDescent="0.25">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5" x14ac:dyDescent="0.25">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5" x14ac:dyDescent="0.25">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5" x14ac:dyDescent="0.25">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5" x14ac:dyDescent="0.25">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5" x14ac:dyDescent="0.25">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5" x14ac:dyDescent="0.25">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5" x14ac:dyDescent="0.25">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5" x14ac:dyDescent="0.25">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5" x14ac:dyDescent="0.25">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5" x14ac:dyDescent="0.25">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5" x14ac:dyDescent="0.25">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5" x14ac:dyDescent="0.25">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5" x14ac:dyDescent="0.25">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5" x14ac:dyDescent="0.25">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5" x14ac:dyDescent="0.25">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5" x14ac:dyDescent="0.25">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5" x14ac:dyDescent="0.25">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5" x14ac:dyDescent="0.25">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5" x14ac:dyDescent="0.25">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5" x14ac:dyDescent="0.25">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5" x14ac:dyDescent="0.25">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5" x14ac:dyDescent="0.25">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5" x14ac:dyDescent="0.25">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5" x14ac:dyDescent="0.25">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5" x14ac:dyDescent="0.25">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5" x14ac:dyDescent="0.25">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5" x14ac:dyDescent="0.25">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5" x14ac:dyDescent="0.25">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5" x14ac:dyDescent="0.25">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5" x14ac:dyDescent="0.25">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5" x14ac:dyDescent="0.25">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5" x14ac:dyDescent="0.25">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5" x14ac:dyDescent="0.25">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5" x14ac:dyDescent="0.25">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5" x14ac:dyDescent="0.25">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5" x14ac:dyDescent="0.25">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5" x14ac:dyDescent="0.25">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5" x14ac:dyDescent="0.25">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5" x14ac:dyDescent="0.25">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5" x14ac:dyDescent="0.25">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5" x14ac:dyDescent="0.25">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5" x14ac:dyDescent="0.25">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5" x14ac:dyDescent="0.25">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5" x14ac:dyDescent="0.25">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5" x14ac:dyDescent="0.25">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5" x14ac:dyDescent="0.25">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5" x14ac:dyDescent="0.25">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5" x14ac:dyDescent="0.25">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5" x14ac:dyDescent="0.25">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5" x14ac:dyDescent="0.25">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5" x14ac:dyDescent="0.25">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5" x14ac:dyDescent="0.25">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5" x14ac:dyDescent="0.25">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5" x14ac:dyDescent="0.25">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5" x14ac:dyDescent="0.25">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5" x14ac:dyDescent="0.25">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5" x14ac:dyDescent="0.25">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5" x14ac:dyDescent="0.25">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5" x14ac:dyDescent="0.25">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5" x14ac:dyDescent="0.25">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5" x14ac:dyDescent="0.25">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5" x14ac:dyDescent="0.25">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5" x14ac:dyDescent="0.25">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5" x14ac:dyDescent="0.25">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5" x14ac:dyDescent="0.25">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5" x14ac:dyDescent="0.25">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5" x14ac:dyDescent="0.25">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5" x14ac:dyDescent="0.25">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5" x14ac:dyDescent="0.25">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5" x14ac:dyDescent="0.25">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5" x14ac:dyDescent="0.25">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5" x14ac:dyDescent="0.25">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5" x14ac:dyDescent="0.25">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5" x14ac:dyDescent="0.25">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5" x14ac:dyDescent="0.25">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5" x14ac:dyDescent="0.25">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5" x14ac:dyDescent="0.25">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5" x14ac:dyDescent="0.25">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5" x14ac:dyDescent="0.25">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5" x14ac:dyDescent="0.25">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5" x14ac:dyDescent="0.25">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5" x14ac:dyDescent="0.25">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5" x14ac:dyDescent="0.25">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5" x14ac:dyDescent="0.25">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5" x14ac:dyDescent="0.25">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5" x14ac:dyDescent="0.25">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5" x14ac:dyDescent="0.25">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5" x14ac:dyDescent="0.25">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5" x14ac:dyDescent="0.25">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5" x14ac:dyDescent="0.25">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5" x14ac:dyDescent="0.25">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5" x14ac:dyDescent="0.25">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5" x14ac:dyDescent="0.25">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5" x14ac:dyDescent="0.25">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5" x14ac:dyDescent="0.25">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5" x14ac:dyDescent="0.25">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5" x14ac:dyDescent="0.25">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5" x14ac:dyDescent="0.25">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5" x14ac:dyDescent="0.25">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5" x14ac:dyDescent="0.25">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5" x14ac:dyDescent="0.25">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5" x14ac:dyDescent="0.25">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5" x14ac:dyDescent="0.25">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5" x14ac:dyDescent="0.25">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5" x14ac:dyDescent="0.25">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5" x14ac:dyDescent="0.25">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5" x14ac:dyDescent="0.25">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5" x14ac:dyDescent="0.25">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5" x14ac:dyDescent="0.25">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5" x14ac:dyDescent="0.25">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5" x14ac:dyDescent="0.25">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5" x14ac:dyDescent="0.25">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5" x14ac:dyDescent="0.25">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5" x14ac:dyDescent="0.25">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5" x14ac:dyDescent="0.25">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5" x14ac:dyDescent="0.25">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5" x14ac:dyDescent="0.25">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5" x14ac:dyDescent="0.25">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5" x14ac:dyDescent="0.25">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5" x14ac:dyDescent="0.25">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5" x14ac:dyDescent="0.25">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5" x14ac:dyDescent="0.25">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5" x14ac:dyDescent="0.25">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5" x14ac:dyDescent="0.25">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5" x14ac:dyDescent="0.25">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5" x14ac:dyDescent="0.25">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5" x14ac:dyDescent="0.25">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5" x14ac:dyDescent="0.25">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5" x14ac:dyDescent="0.25">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5" x14ac:dyDescent="0.25">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5" x14ac:dyDescent="0.25">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5" x14ac:dyDescent="0.25">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5" x14ac:dyDescent="0.25">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5" x14ac:dyDescent="0.25">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5" x14ac:dyDescent="0.25">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5" x14ac:dyDescent="0.25">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5" x14ac:dyDescent="0.25">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5" x14ac:dyDescent="0.25">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5" x14ac:dyDescent="0.25">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5" x14ac:dyDescent="0.25">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5" x14ac:dyDescent="0.25">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5" x14ac:dyDescent="0.25">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5" x14ac:dyDescent="0.25">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5" x14ac:dyDescent="0.25">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5" x14ac:dyDescent="0.25">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5" x14ac:dyDescent="0.25">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5" x14ac:dyDescent="0.25">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5" x14ac:dyDescent="0.25">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5" x14ac:dyDescent="0.25">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5" x14ac:dyDescent="0.25">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5" x14ac:dyDescent="0.25">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5" x14ac:dyDescent="0.25">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5" x14ac:dyDescent="0.25">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5" x14ac:dyDescent="0.25">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5" x14ac:dyDescent="0.25">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5" x14ac:dyDescent="0.25">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5" x14ac:dyDescent="0.25">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5" x14ac:dyDescent="0.25">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5" x14ac:dyDescent="0.25">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5" x14ac:dyDescent="0.25">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5" x14ac:dyDescent="0.25">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5" x14ac:dyDescent="0.25">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5" x14ac:dyDescent="0.25">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5" x14ac:dyDescent="0.25">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5" x14ac:dyDescent="0.25">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5" x14ac:dyDescent="0.25">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5" x14ac:dyDescent="0.25">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5" x14ac:dyDescent="0.25">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5" x14ac:dyDescent="0.25">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5" x14ac:dyDescent="0.25">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5" x14ac:dyDescent="0.25">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5" x14ac:dyDescent="0.25">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5" x14ac:dyDescent="0.25">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5" x14ac:dyDescent="0.25">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5" x14ac:dyDescent="0.25">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5" x14ac:dyDescent="0.25">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5" x14ac:dyDescent="0.25">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5" x14ac:dyDescent="0.25">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5" x14ac:dyDescent="0.25">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5" x14ac:dyDescent="0.25">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5" x14ac:dyDescent="0.25">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5" x14ac:dyDescent="0.25">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5" x14ac:dyDescent="0.25">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5" x14ac:dyDescent="0.25">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5" x14ac:dyDescent="0.25">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5" x14ac:dyDescent="0.25">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5" x14ac:dyDescent="0.25">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5" x14ac:dyDescent="0.25">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5" x14ac:dyDescent="0.25">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5" x14ac:dyDescent="0.25">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5" x14ac:dyDescent="0.25">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5" x14ac:dyDescent="0.25">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5" x14ac:dyDescent="0.25">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row r="1001" spans="1:26" ht="15" x14ac:dyDescent="0.25">
      <c r="A1001" s="28"/>
      <c r="B1001" s="28"/>
      <c r="C1001" s="28"/>
      <c r="D1001" s="28"/>
      <c r="E1001" s="28"/>
      <c r="F1001" s="28"/>
      <c r="G1001" s="28"/>
      <c r="H1001" s="28"/>
      <c r="I1001" s="28"/>
      <c r="J1001" s="28"/>
      <c r="K1001" s="28"/>
      <c r="L1001" s="28"/>
      <c r="M1001" s="28"/>
      <c r="N1001" s="28"/>
      <c r="O1001" s="28"/>
      <c r="P1001" s="28"/>
      <c r="Q1001" s="28"/>
      <c r="R1001" s="28"/>
      <c r="S1001" s="28"/>
      <c r="T1001" s="28"/>
      <c r="U1001" s="28"/>
      <c r="V1001" s="28"/>
      <c r="W1001" s="28"/>
      <c r="X1001" s="28"/>
      <c r="Y1001" s="28"/>
      <c r="Z1001" s="28"/>
    </row>
    <row r="1002" spans="1:26" ht="15" x14ac:dyDescent="0.25">
      <c r="A1002" s="28"/>
      <c r="B1002" s="28"/>
      <c r="C1002" s="28"/>
      <c r="D1002" s="28"/>
      <c r="E1002" s="28"/>
      <c r="F1002" s="28"/>
      <c r="G1002" s="28"/>
      <c r="H1002" s="28"/>
      <c r="I1002" s="28"/>
      <c r="J1002" s="28"/>
      <c r="K1002" s="28"/>
      <c r="L1002" s="28"/>
      <c r="M1002" s="28"/>
      <c r="N1002" s="28"/>
      <c r="O1002" s="28"/>
      <c r="P1002" s="28"/>
      <c r="Q1002" s="28"/>
      <c r="R1002" s="28"/>
      <c r="S1002" s="28"/>
      <c r="T1002" s="28"/>
      <c r="U1002" s="28"/>
      <c r="V1002" s="28"/>
      <c r="W1002" s="28"/>
      <c r="X1002" s="28"/>
      <c r="Y1002" s="28"/>
      <c r="Z1002" s="28"/>
    </row>
    <row r="1003" spans="1:26" ht="15" x14ac:dyDescent="0.25">
      <c r="A1003" s="28"/>
      <c r="B1003" s="28"/>
      <c r="C1003" s="28"/>
      <c r="D1003" s="28"/>
      <c r="E1003" s="28"/>
      <c r="F1003" s="28"/>
      <c r="G1003" s="28"/>
      <c r="H1003" s="28"/>
      <c r="I1003" s="28"/>
      <c r="J1003" s="28"/>
      <c r="K1003" s="28"/>
      <c r="L1003" s="28"/>
      <c r="M1003" s="28"/>
      <c r="N1003" s="28"/>
      <c r="O1003" s="28"/>
      <c r="P1003" s="28"/>
      <c r="Q1003" s="28"/>
      <c r="R1003" s="28"/>
      <c r="S1003" s="28"/>
      <c r="T1003" s="28"/>
      <c r="U1003" s="28"/>
      <c r="V1003" s="28"/>
      <c r="W1003" s="28"/>
      <c r="X1003" s="28"/>
      <c r="Y1003" s="28"/>
      <c r="Z1003" s="28"/>
    </row>
    <row r="1004" spans="1:26" ht="15" x14ac:dyDescent="0.25">
      <c r="A1004" s="28"/>
      <c r="B1004" s="28"/>
      <c r="C1004" s="28"/>
      <c r="D1004" s="28"/>
      <c r="E1004" s="28"/>
      <c r="F1004" s="28"/>
      <c r="G1004" s="28"/>
      <c r="H1004" s="28"/>
      <c r="I1004" s="28"/>
      <c r="J1004" s="28"/>
      <c r="K1004" s="28"/>
      <c r="L1004" s="28"/>
      <c r="M1004" s="28"/>
      <c r="N1004" s="28"/>
      <c r="O1004" s="28"/>
      <c r="P1004" s="28"/>
      <c r="Q1004" s="28"/>
      <c r="R1004" s="28"/>
      <c r="S1004" s="28"/>
      <c r="T1004" s="28"/>
      <c r="U1004" s="28"/>
      <c r="V1004" s="28"/>
      <c r="W1004" s="28"/>
      <c r="X1004" s="28"/>
      <c r="Y1004" s="28"/>
      <c r="Z1004" s="28"/>
    </row>
    <row r="1005" spans="1:26" ht="15" x14ac:dyDescent="0.25">
      <c r="A1005" s="28"/>
      <c r="B1005" s="28"/>
      <c r="C1005" s="28"/>
      <c r="D1005" s="28"/>
      <c r="E1005" s="28"/>
      <c r="F1005" s="28"/>
      <c r="G1005" s="28"/>
      <c r="H1005" s="28"/>
      <c r="I1005" s="28"/>
      <c r="J1005" s="28"/>
      <c r="K1005" s="28"/>
      <c r="L1005" s="28"/>
      <c r="M1005" s="28"/>
      <c r="N1005" s="28"/>
      <c r="O1005" s="28"/>
      <c r="P1005" s="28"/>
      <c r="Q1005" s="28"/>
      <c r="R1005" s="28"/>
      <c r="S1005" s="28"/>
      <c r="T1005" s="28"/>
      <c r="U1005" s="28"/>
      <c r="V1005" s="28"/>
      <c r="W1005" s="28"/>
      <c r="X1005" s="28"/>
      <c r="Y1005" s="28"/>
      <c r="Z1005" s="28"/>
    </row>
    <row r="1006" spans="1:26" ht="15" x14ac:dyDescent="0.25">
      <c r="A1006" s="28"/>
      <c r="B1006" s="28"/>
      <c r="C1006" s="28"/>
      <c r="D1006" s="28"/>
      <c r="E1006" s="28"/>
      <c r="F1006" s="28"/>
      <c r="G1006" s="28"/>
      <c r="H1006" s="28"/>
      <c r="I1006" s="28"/>
      <c r="J1006" s="28"/>
      <c r="K1006" s="28"/>
      <c r="L1006" s="28"/>
      <c r="M1006" s="28"/>
      <c r="N1006" s="28"/>
      <c r="O1006" s="28"/>
      <c r="P1006" s="28"/>
      <c r="Q1006" s="28"/>
      <c r="R1006" s="28"/>
      <c r="S1006" s="28"/>
      <c r="T1006" s="28"/>
      <c r="U1006" s="28"/>
      <c r="V1006" s="28"/>
      <c r="W1006" s="28"/>
      <c r="X1006" s="28"/>
      <c r="Y1006" s="28"/>
      <c r="Z1006" s="28"/>
    </row>
    <row r="1007" spans="1:26" ht="15" x14ac:dyDescent="0.25">
      <c r="A1007" s="28"/>
      <c r="B1007" s="28"/>
      <c r="C1007" s="28"/>
      <c r="D1007" s="28"/>
      <c r="E1007" s="28"/>
      <c r="F1007" s="28"/>
      <c r="G1007" s="28"/>
      <c r="H1007" s="28"/>
      <c r="I1007" s="28"/>
      <c r="J1007" s="28"/>
      <c r="K1007" s="28"/>
      <c r="L1007" s="28"/>
      <c r="M1007" s="28"/>
      <c r="N1007" s="28"/>
      <c r="O1007" s="28"/>
      <c r="P1007" s="28"/>
      <c r="Q1007" s="28"/>
      <c r="R1007" s="28"/>
      <c r="S1007" s="28"/>
      <c r="T1007" s="28"/>
      <c r="U1007" s="28"/>
      <c r="V1007" s="28"/>
      <c r="W1007" s="28"/>
      <c r="X1007" s="28"/>
      <c r="Y1007" s="28"/>
      <c r="Z1007" s="28"/>
    </row>
  </sheetData>
  <pageMargins left="0.7" right="0.7" top="0.75" bottom="0.75" header="0.3" footer="0.3"/>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SUPUESTO 1</vt:lpstr>
      <vt:lpstr>SUPUESTO 2</vt:lpstr>
      <vt:lpstr>SUPUESTO 3-</vt:lpstr>
      <vt:lpstr>SUPUESTO 4</vt:lpstr>
      <vt:lpstr>SUPUESTO 5</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2023-06-02T16:32:59Z</dcterms:modified>
</cp:coreProperties>
</file>